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120" windowHeight="11940"/>
  </bookViews>
  <sheets>
    <sheet name="Sheet1" sheetId="1" r:id="rId1"/>
    <sheet name="Sheet2" sheetId="2" r:id="rId2"/>
    <sheet name="Sheet3" sheetId="3" r:id="rId3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4" name="ID_C4310FD207FE4E92ACD418CD98E6EB59" descr="Picture"/>
        <xdr:cNvPicPr/>
      </xdr:nvPicPr>
      <xdr:blipFill>
        <a:blip r:embed="rId1" cstate="print"/>
        <a:stretch>
          <a:fillRect/>
        </a:stretch>
      </xdr:blipFill>
      <xdr:spPr>
        <a:xfrm>
          <a:off x="0" y="1568450"/>
          <a:ext cx="619125" cy="676275"/>
        </a:xfrm>
        <a:prstGeom prst="rect">
          <a:avLst/>
        </a:prstGeom>
      </xdr:spPr>
    </xdr:pic>
  </etc:cellImage>
  <etc:cellImage>
    <xdr:pic>
      <xdr:nvPicPr>
        <xdr:cNvPr id="2" name="ID_3EAD7C3389F94904A27F14D4FEF2D31A" descr="Picture"/>
        <xdr:cNvPicPr/>
      </xdr:nvPicPr>
      <xdr:blipFill>
        <a:blip r:embed="rId2" cstate="print"/>
        <a:stretch>
          <a:fillRect/>
        </a:stretch>
      </xdr:blipFill>
      <xdr:spPr>
        <a:xfrm>
          <a:off x="0" y="171450"/>
          <a:ext cx="619125" cy="676275"/>
        </a:xfrm>
        <a:prstGeom prst="rect">
          <a:avLst/>
        </a:prstGeom>
      </xdr:spPr>
    </xdr:pic>
  </etc:cellImage>
  <etc:cellImage>
    <xdr:pic>
      <xdr:nvPicPr>
        <xdr:cNvPr id="3" name="ID_F2265C2E816B4C87941F0DA300582887" descr="Picture"/>
        <xdr:cNvPicPr/>
      </xdr:nvPicPr>
      <xdr:blipFill>
        <a:blip r:embed="rId3" cstate="print"/>
        <a:stretch>
          <a:fillRect/>
        </a:stretch>
      </xdr:blipFill>
      <xdr:spPr>
        <a:xfrm>
          <a:off x="0" y="869950"/>
          <a:ext cx="619125" cy="676275"/>
        </a:xfrm>
        <a:prstGeom prst="rect">
          <a:avLst/>
        </a:prstGeom>
      </xdr:spPr>
    </xdr:pic>
  </etc:cellImage>
  <etc:cellImage>
    <xdr:pic>
      <xdr:nvPicPr>
        <xdr:cNvPr id="5" name="ID_9D6DF4A943A34886932A6D96DE1E1468" descr="Picture"/>
        <xdr:cNvPicPr/>
      </xdr:nvPicPr>
      <xdr:blipFill>
        <a:blip r:embed="rId4" cstate="print"/>
        <a:stretch>
          <a:fillRect/>
        </a:stretch>
      </xdr:blipFill>
      <xdr:spPr>
        <a:xfrm>
          <a:off x="0" y="2266950"/>
          <a:ext cx="619125" cy="676275"/>
        </a:xfrm>
        <a:prstGeom prst="rect">
          <a:avLst/>
        </a:prstGeom>
      </xdr:spPr>
    </xdr:pic>
  </etc:cellImage>
  <etc:cellImage>
    <xdr:pic>
      <xdr:nvPicPr>
        <xdr:cNvPr id="6" name="ID_47431D385F8C4F8798EF3258596C6B8F" descr="Picture"/>
        <xdr:cNvPicPr/>
      </xdr:nvPicPr>
      <xdr:blipFill>
        <a:blip r:embed="rId5" cstate="print"/>
        <a:stretch>
          <a:fillRect/>
        </a:stretch>
      </xdr:blipFill>
      <xdr:spPr>
        <a:xfrm>
          <a:off x="0" y="2965450"/>
          <a:ext cx="619125" cy="676275"/>
        </a:xfrm>
        <a:prstGeom prst="rect">
          <a:avLst/>
        </a:prstGeom>
      </xdr:spPr>
    </xdr:pic>
  </etc:cellImage>
  <etc:cellImage>
    <xdr:pic>
      <xdr:nvPicPr>
        <xdr:cNvPr id="7" name="ID_CF68F903623E496B9A84801E1CEC76B3" descr="Picture"/>
        <xdr:cNvPicPr/>
      </xdr:nvPicPr>
      <xdr:blipFill>
        <a:blip r:embed="rId6" cstate="print"/>
        <a:stretch>
          <a:fillRect/>
        </a:stretch>
      </xdr:blipFill>
      <xdr:spPr>
        <a:xfrm>
          <a:off x="0" y="3663950"/>
          <a:ext cx="619125" cy="676275"/>
        </a:xfrm>
        <a:prstGeom prst="rect">
          <a:avLst/>
        </a:prstGeom>
      </xdr:spPr>
    </xdr:pic>
  </etc:cellImage>
  <etc:cellImage>
    <xdr:pic>
      <xdr:nvPicPr>
        <xdr:cNvPr id="8" name="ID_9AACABA56F324357B1C1A3A8BB2D2652" descr="Picture"/>
        <xdr:cNvPicPr/>
      </xdr:nvPicPr>
      <xdr:blipFill>
        <a:blip r:embed="rId7" cstate="print"/>
        <a:stretch>
          <a:fillRect/>
        </a:stretch>
      </xdr:blipFill>
      <xdr:spPr>
        <a:xfrm>
          <a:off x="0" y="4362450"/>
          <a:ext cx="619125" cy="676275"/>
        </a:xfrm>
        <a:prstGeom prst="rect">
          <a:avLst/>
        </a:prstGeom>
      </xdr:spPr>
    </xdr:pic>
  </etc:cellImage>
  <etc:cellImage>
    <xdr:pic>
      <xdr:nvPicPr>
        <xdr:cNvPr id="9" name="ID_EC588837ADA7415F9CB62D0DDB6328CE" descr="Picture"/>
        <xdr:cNvPicPr/>
      </xdr:nvPicPr>
      <xdr:blipFill>
        <a:blip r:embed="rId8" cstate="print"/>
        <a:stretch>
          <a:fillRect/>
        </a:stretch>
      </xdr:blipFill>
      <xdr:spPr>
        <a:xfrm>
          <a:off x="0" y="5060950"/>
          <a:ext cx="619125" cy="676275"/>
        </a:xfrm>
        <a:prstGeom prst="rect">
          <a:avLst/>
        </a:prstGeom>
      </xdr:spPr>
    </xdr:pic>
  </etc:cellImage>
  <etc:cellImage>
    <xdr:pic>
      <xdr:nvPicPr>
        <xdr:cNvPr id="10" name="ID_C0BB67291E8D43E385016F5E5DEBF449" descr="Picture"/>
        <xdr:cNvPicPr/>
      </xdr:nvPicPr>
      <xdr:blipFill>
        <a:blip r:embed="rId9" cstate="print"/>
        <a:stretch>
          <a:fillRect/>
        </a:stretch>
      </xdr:blipFill>
      <xdr:spPr>
        <a:xfrm>
          <a:off x="0" y="5759450"/>
          <a:ext cx="619125" cy="676275"/>
        </a:xfrm>
        <a:prstGeom prst="rect">
          <a:avLst/>
        </a:prstGeom>
      </xdr:spPr>
    </xdr:pic>
  </etc:cellImage>
  <etc:cellImage>
    <xdr:pic>
      <xdr:nvPicPr>
        <xdr:cNvPr id="11" name="ID_FA9074B77AAC4DD1A6D8370EEAD7BAC6" descr="Picture"/>
        <xdr:cNvPicPr/>
      </xdr:nvPicPr>
      <xdr:blipFill>
        <a:blip r:embed="rId10" cstate="print"/>
        <a:stretch>
          <a:fillRect/>
        </a:stretch>
      </xdr:blipFill>
      <xdr:spPr>
        <a:xfrm>
          <a:off x="0" y="6457950"/>
          <a:ext cx="619125" cy="676275"/>
        </a:xfrm>
        <a:prstGeom prst="rect">
          <a:avLst/>
        </a:prstGeom>
      </xdr:spPr>
    </xdr:pic>
  </etc:cellImage>
  <etc:cellImage>
    <xdr:pic>
      <xdr:nvPicPr>
        <xdr:cNvPr id="12" name="ID_F9B09B1AFBB247BF85FD052899E9184A" descr="Picture"/>
        <xdr:cNvPicPr/>
      </xdr:nvPicPr>
      <xdr:blipFill>
        <a:blip r:embed="rId11" cstate="print"/>
        <a:stretch>
          <a:fillRect/>
        </a:stretch>
      </xdr:blipFill>
      <xdr:spPr>
        <a:xfrm>
          <a:off x="0" y="7156450"/>
          <a:ext cx="619125" cy="676275"/>
        </a:xfrm>
        <a:prstGeom prst="rect">
          <a:avLst/>
        </a:prstGeom>
      </xdr:spPr>
    </xdr:pic>
  </etc:cellImage>
  <etc:cellImage>
    <xdr:pic>
      <xdr:nvPicPr>
        <xdr:cNvPr id="13" name="ID_9DC9B15A5BF349EDAA5800F1B2BEBBD1" descr="Picture"/>
        <xdr:cNvPicPr/>
      </xdr:nvPicPr>
      <xdr:blipFill>
        <a:blip r:embed="rId12" cstate="print"/>
        <a:stretch>
          <a:fillRect/>
        </a:stretch>
      </xdr:blipFill>
      <xdr:spPr>
        <a:xfrm>
          <a:off x="0" y="7854950"/>
          <a:ext cx="619125" cy="676275"/>
        </a:xfrm>
        <a:prstGeom prst="rect">
          <a:avLst/>
        </a:prstGeom>
      </xdr:spPr>
    </xdr:pic>
  </etc:cellImage>
  <etc:cellImage>
    <xdr:pic>
      <xdr:nvPicPr>
        <xdr:cNvPr id="14" name="ID_93360C98D9E8481190C04CE23B73D800" descr="Picture"/>
        <xdr:cNvPicPr/>
      </xdr:nvPicPr>
      <xdr:blipFill>
        <a:blip r:embed="rId13" cstate="print"/>
        <a:stretch>
          <a:fillRect/>
        </a:stretch>
      </xdr:blipFill>
      <xdr:spPr>
        <a:xfrm>
          <a:off x="0" y="8553450"/>
          <a:ext cx="619125" cy="676275"/>
        </a:xfrm>
        <a:prstGeom prst="rect">
          <a:avLst/>
        </a:prstGeom>
      </xdr:spPr>
    </xdr:pic>
  </etc:cellImage>
  <etc:cellImage>
    <xdr:pic>
      <xdr:nvPicPr>
        <xdr:cNvPr id="15" name="ID_3440708E6CA34F31B8AEB91214D063C6" descr="Picture"/>
        <xdr:cNvPicPr/>
      </xdr:nvPicPr>
      <xdr:blipFill>
        <a:blip r:embed="rId14" cstate="print"/>
        <a:stretch>
          <a:fillRect/>
        </a:stretch>
      </xdr:blipFill>
      <xdr:spPr>
        <a:xfrm>
          <a:off x="0" y="9251950"/>
          <a:ext cx="619125" cy="676275"/>
        </a:xfrm>
        <a:prstGeom prst="rect">
          <a:avLst/>
        </a:prstGeom>
      </xdr:spPr>
    </xdr:pic>
  </etc:cellImage>
  <etc:cellImage>
    <xdr:pic>
      <xdr:nvPicPr>
        <xdr:cNvPr id="16" name="ID_0A8B5C5CAAED4C33AFA95D3A25E226B9" descr="Picture"/>
        <xdr:cNvPicPr/>
      </xdr:nvPicPr>
      <xdr:blipFill>
        <a:blip r:embed="rId15" cstate="print"/>
        <a:stretch>
          <a:fillRect/>
        </a:stretch>
      </xdr:blipFill>
      <xdr:spPr>
        <a:xfrm>
          <a:off x="0" y="9950450"/>
          <a:ext cx="619125" cy="676275"/>
        </a:xfrm>
        <a:prstGeom prst="rect">
          <a:avLst/>
        </a:prstGeom>
      </xdr:spPr>
    </xdr:pic>
  </etc:cellImage>
  <etc:cellImage>
    <xdr:pic>
      <xdr:nvPicPr>
        <xdr:cNvPr id="17" name="ID_8CB50535054F494B9CF5279A0D4B4FA2" descr="Picture"/>
        <xdr:cNvPicPr/>
      </xdr:nvPicPr>
      <xdr:blipFill>
        <a:blip r:embed="rId16" cstate="print"/>
        <a:stretch>
          <a:fillRect/>
        </a:stretch>
      </xdr:blipFill>
      <xdr:spPr>
        <a:xfrm>
          <a:off x="0" y="10648950"/>
          <a:ext cx="619125" cy="676275"/>
        </a:xfrm>
        <a:prstGeom prst="rect">
          <a:avLst/>
        </a:prstGeom>
      </xdr:spPr>
    </xdr:pic>
  </etc:cellImage>
  <etc:cellImage>
    <xdr:pic>
      <xdr:nvPicPr>
        <xdr:cNvPr id="18" name="ID_4D0553B03F3848AAAA00F02BA52B9377" descr="Picture"/>
        <xdr:cNvPicPr/>
      </xdr:nvPicPr>
      <xdr:blipFill>
        <a:blip r:embed="rId17" cstate="print"/>
        <a:stretch>
          <a:fillRect/>
        </a:stretch>
      </xdr:blipFill>
      <xdr:spPr>
        <a:xfrm>
          <a:off x="0" y="11347450"/>
          <a:ext cx="619125" cy="676275"/>
        </a:xfrm>
        <a:prstGeom prst="rect">
          <a:avLst/>
        </a:prstGeom>
      </xdr:spPr>
    </xdr:pic>
  </etc:cellImage>
  <etc:cellImage>
    <xdr:pic>
      <xdr:nvPicPr>
        <xdr:cNvPr id="19" name="ID_4919DE7267944815BD512BA035BD243D" descr="Picture"/>
        <xdr:cNvPicPr/>
      </xdr:nvPicPr>
      <xdr:blipFill>
        <a:blip r:embed="rId18" cstate="print"/>
        <a:stretch>
          <a:fillRect/>
        </a:stretch>
      </xdr:blipFill>
      <xdr:spPr>
        <a:xfrm>
          <a:off x="0" y="12045950"/>
          <a:ext cx="619125" cy="676275"/>
        </a:xfrm>
        <a:prstGeom prst="rect">
          <a:avLst/>
        </a:prstGeom>
      </xdr:spPr>
    </xdr:pic>
  </etc:cellImage>
  <etc:cellImage>
    <xdr:pic>
      <xdr:nvPicPr>
        <xdr:cNvPr id="20" name="ID_40D9E8395DE6417FB9CD5FB407A7FD87" descr="Picture"/>
        <xdr:cNvPicPr/>
      </xdr:nvPicPr>
      <xdr:blipFill>
        <a:blip r:embed="rId19" cstate="print"/>
        <a:stretch>
          <a:fillRect/>
        </a:stretch>
      </xdr:blipFill>
      <xdr:spPr>
        <a:xfrm>
          <a:off x="0" y="12744450"/>
          <a:ext cx="619125" cy="676275"/>
        </a:xfrm>
        <a:prstGeom prst="rect">
          <a:avLst/>
        </a:prstGeom>
      </xdr:spPr>
    </xdr:pic>
  </etc:cellImage>
  <etc:cellImage>
    <xdr:pic>
      <xdr:nvPicPr>
        <xdr:cNvPr id="21" name="ID_F2FD8CC687954C388E89B8E399560C70" descr="Picture"/>
        <xdr:cNvPicPr/>
      </xdr:nvPicPr>
      <xdr:blipFill>
        <a:blip r:embed="rId20" cstate="print"/>
        <a:stretch>
          <a:fillRect/>
        </a:stretch>
      </xdr:blipFill>
      <xdr:spPr>
        <a:xfrm>
          <a:off x="0" y="13442950"/>
          <a:ext cx="619125" cy="676275"/>
        </a:xfrm>
        <a:prstGeom prst="rect">
          <a:avLst/>
        </a:prstGeom>
      </xdr:spPr>
    </xdr:pic>
  </etc:cellImage>
  <etc:cellImage>
    <xdr:pic>
      <xdr:nvPicPr>
        <xdr:cNvPr id="22" name="ID_FD663705404540C387530EFD16E083EA" descr="Picture"/>
        <xdr:cNvPicPr/>
      </xdr:nvPicPr>
      <xdr:blipFill>
        <a:blip r:embed="rId21" cstate="print"/>
        <a:stretch>
          <a:fillRect/>
        </a:stretch>
      </xdr:blipFill>
      <xdr:spPr>
        <a:xfrm>
          <a:off x="0" y="14141450"/>
          <a:ext cx="619125" cy="676275"/>
        </a:xfrm>
        <a:prstGeom prst="rect">
          <a:avLst/>
        </a:prstGeom>
      </xdr:spPr>
    </xdr:pic>
  </etc:cellImage>
  <etc:cellImage>
    <xdr:pic>
      <xdr:nvPicPr>
        <xdr:cNvPr id="23" name="ID_199C670C1115451CA5D5A9AA59C2E381" descr="Picture"/>
        <xdr:cNvPicPr/>
      </xdr:nvPicPr>
      <xdr:blipFill>
        <a:blip r:embed="rId22" cstate="print"/>
        <a:stretch>
          <a:fillRect/>
        </a:stretch>
      </xdr:blipFill>
      <xdr:spPr>
        <a:xfrm>
          <a:off x="0" y="14839950"/>
          <a:ext cx="619125" cy="676275"/>
        </a:xfrm>
        <a:prstGeom prst="rect">
          <a:avLst/>
        </a:prstGeom>
      </xdr:spPr>
    </xdr:pic>
  </etc:cellImage>
  <etc:cellImage>
    <xdr:pic>
      <xdr:nvPicPr>
        <xdr:cNvPr id="24" name="ID_515AB51B151F4B40A5CB1635683F6D8A" descr="Picture"/>
        <xdr:cNvPicPr/>
      </xdr:nvPicPr>
      <xdr:blipFill>
        <a:blip r:embed="rId23" cstate="print"/>
        <a:stretch>
          <a:fillRect/>
        </a:stretch>
      </xdr:blipFill>
      <xdr:spPr>
        <a:xfrm>
          <a:off x="0" y="15538450"/>
          <a:ext cx="619125" cy="676275"/>
        </a:xfrm>
        <a:prstGeom prst="rect">
          <a:avLst/>
        </a:prstGeom>
      </xdr:spPr>
    </xdr:pic>
  </etc:cellImage>
  <etc:cellImage>
    <xdr:pic>
      <xdr:nvPicPr>
        <xdr:cNvPr id="25" name="ID_79BB43DB47FA4B19AEAD318438DF2B2D" descr="Picture"/>
        <xdr:cNvPicPr/>
      </xdr:nvPicPr>
      <xdr:blipFill>
        <a:blip r:embed="rId24" cstate="print"/>
        <a:stretch>
          <a:fillRect/>
        </a:stretch>
      </xdr:blipFill>
      <xdr:spPr>
        <a:xfrm>
          <a:off x="0" y="16236950"/>
          <a:ext cx="619125" cy="676275"/>
        </a:xfrm>
        <a:prstGeom prst="rect">
          <a:avLst/>
        </a:prstGeom>
      </xdr:spPr>
    </xdr:pic>
  </etc:cellImage>
  <etc:cellImage>
    <xdr:pic>
      <xdr:nvPicPr>
        <xdr:cNvPr id="26" name="ID_EC02FDB1EB1947EB92F4CC81385E9B61" descr="Picture"/>
        <xdr:cNvPicPr/>
      </xdr:nvPicPr>
      <xdr:blipFill>
        <a:blip r:embed="rId25" cstate="print"/>
        <a:stretch>
          <a:fillRect/>
        </a:stretch>
      </xdr:blipFill>
      <xdr:spPr>
        <a:xfrm>
          <a:off x="0" y="16935450"/>
          <a:ext cx="619125" cy="676275"/>
        </a:xfrm>
        <a:prstGeom prst="rect">
          <a:avLst/>
        </a:prstGeom>
      </xdr:spPr>
    </xdr:pic>
  </etc:cellImage>
  <etc:cellImage>
    <xdr:pic>
      <xdr:nvPicPr>
        <xdr:cNvPr id="27" name="ID_0200B19390AF4FD4B157CECC527682BF" descr="Picture"/>
        <xdr:cNvPicPr/>
      </xdr:nvPicPr>
      <xdr:blipFill>
        <a:blip r:embed="rId26" cstate="print"/>
        <a:stretch>
          <a:fillRect/>
        </a:stretch>
      </xdr:blipFill>
      <xdr:spPr>
        <a:xfrm>
          <a:off x="0" y="17633950"/>
          <a:ext cx="619125" cy="676275"/>
        </a:xfrm>
        <a:prstGeom prst="rect">
          <a:avLst/>
        </a:prstGeom>
      </xdr:spPr>
    </xdr:pic>
  </etc:cellImage>
  <etc:cellImage>
    <xdr:pic>
      <xdr:nvPicPr>
        <xdr:cNvPr id="28" name="ID_A329E2F422DA42BB822C0608FECAD376" descr="Picture"/>
        <xdr:cNvPicPr/>
      </xdr:nvPicPr>
      <xdr:blipFill>
        <a:blip r:embed="rId27" cstate="print"/>
        <a:stretch>
          <a:fillRect/>
        </a:stretch>
      </xdr:blipFill>
      <xdr:spPr>
        <a:xfrm>
          <a:off x="0" y="18332450"/>
          <a:ext cx="619125" cy="676275"/>
        </a:xfrm>
        <a:prstGeom prst="rect">
          <a:avLst/>
        </a:prstGeom>
      </xdr:spPr>
    </xdr:pic>
  </etc:cellImage>
  <etc:cellImage>
    <xdr:pic>
      <xdr:nvPicPr>
        <xdr:cNvPr id="29" name="ID_9F7D9B07CEF14F4390F68F80F97A6CBD" descr="Picture"/>
        <xdr:cNvPicPr/>
      </xdr:nvPicPr>
      <xdr:blipFill>
        <a:blip r:embed="rId28" cstate="print"/>
        <a:stretch>
          <a:fillRect/>
        </a:stretch>
      </xdr:blipFill>
      <xdr:spPr>
        <a:xfrm>
          <a:off x="0" y="19030950"/>
          <a:ext cx="619125" cy="676275"/>
        </a:xfrm>
        <a:prstGeom prst="rect">
          <a:avLst/>
        </a:prstGeom>
      </xdr:spPr>
    </xdr:pic>
  </etc:cellImage>
  <etc:cellImage>
    <xdr:pic>
      <xdr:nvPicPr>
        <xdr:cNvPr id="30" name="ID_1DF53CA110C240CCAC26EB64CF17DCA9" descr="Picture"/>
        <xdr:cNvPicPr/>
      </xdr:nvPicPr>
      <xdr:blipFill>
        <a:blip r:embed="rId29" cstate="print"/>
        <a:stretch>
          <a:fillRect/>
        </a:stretch>
      </xdr:blipFill>
      <xdr:spPr>
        <a:xfrm>
          <a:off x="0" y="19729450"/>
          <a:ext cx="619125" cy="676275"/>
        </a:xfrm>
        <a:prstGeom prst="rect">
          <a:avLst/>
        </a:prstGeom>
      </xdr:spPr>
    </xdr:pic>
  </etc:cellImage>
  <etc:cellImage>
    <xdr:pic>
      <xdr:nvPicPr>
        <xdr:cNvPr id="31" name="ID_8CDE438413CE4DEBB38B8D33E82EE829" descr="Picture"/>
        <xdr:cNvPicPr/>
      </xdr:nvPicPr>
      <xdr:blipFill>
        <a:blip r:embed="rId30" cstate="print"/>
        <a:stretch>
          <a:fillRect/>
        </a:stretch>
      </xdr:blipFill>
      <xdr:spPr>
        <a:xfrm>
          <a:off x="0" y="20427950"/>
          <a:ext cx="619125" cy="676275"/>
        </a:xfrm>
        <a:prstGeom prst="rect">
          <a:avLst/>
        </a:prstGeom>
      </xdr:spPr>
    </xdr:pic>
  </etc:cellImage>
  <etc:cellImage>
    <xdr:pic>
      <xdr:nvPicPr>
        <xdr:cNvPr id="32" name="ID_4F909939337B4088ACADFEC2094CF415" descr="Picture"/>
        <xdr:cNvPicPr/>
      </xdr:nvPicPr>
      <xdr:blipFill>
        <a:blip r:embed="rId31" cstate="print"/>
        <a:stretch>
          <a:fillRect/>
        </a:stretch>
      </xdr:blipFill>
      <xdr:spPr>
        <a:xfrm>
          <a:off x="0" y="21126450"/>
          <a:ext cx="619125" cy="676275"/>
        </a:xfrm>
        <a:prstGeom prst="rect">
          <a:avLst/>
        </a:prstGeom>
      </xdr:spPr>
    </xdr:pic>
  </etc:cellImage>
  <etc:cellImage>
    <xdr:pic>
      <xdr:nvPicPr>
        <xdr:cNvPr id="33" name="ID_0ABBE78073FA45E4A1BE8192DBF0651D" descr="Picture"/>
        <xdr:cNvPicPr/>
      </xdr:nvPicPr>
      <xdr:blipFill>
        <a:blip r:embed="rId32" cstate="print"/>
        <a:stretch>
          <a:fillRect/>
        </a:stretch>
      </xdr:blipFill>
      <xdr:spPr>
        <a:xfrm>
          <a:off x="0" y="21824950"/>
          <a:ext cx="619125" cy="676275"/>
        </a:xfrm>
        <a:prstGeom prst="rect">
          <a:avLst/>
        </a:prstGeom>
      </xdr:spPr>
    </xdr:pic>
  </etc:cellImage>
  <etc:cellImage>
    <xdr:pic>
      <xdr:nvPicPr>
        <xdr:cNvPr id="34" name="ID_ED6E3C7B672B40BFAB5C8F802A390067" descr="Picture"/>
        <xdr:cNvPicPr/>
      </xdr:nvPicPr>
      <xdr:blipFill>
        <a:blip r:embed="rId33" cstate="print"/>
        <a:stretch>
          <a:fillRect/>
        </a:stretch>
      </xdr:blipFill>
      <xdr:spPr>
        <a:xfrm>
          <a:off x="0" y="22523450"/>
          <a:ext cx="619125" cy="676275"/>
        </a:xfrm>
        <a:prstGeom prst="rect">
          <a:avLst/>
        </a:prstGeom>
      </xdr:spPr>
    </xdr:pic>
  </etc:cellImage>
  <etc:cellImage>
    <xdr:pic>
      <xdr:nvPicPr>
        <xdr:cNvPr id="35" name="ID_F0A7540B0EE84E048544E698AFE16474" descr="Picture"/>
        <xdr:cNvPicPr/>
      </xdr:nvPicPr>
      <xdr:blipFill>
        <a:blip r:embed="rId34" cstate="print"/>
        <a:stretch>
          <a:fillRect/>
        </a:stretch>
      </xdr:blipFill>
      <xdr:spPr>
        <a:xfrm>
          <a:off x="0" y="23221950"/>
          <a:ext cx="619125" cy="676275"/>
        </a:xfrm>
        <a:prstGeom prst="rect">
          <a:avLst/>
        </a:prstGeom>
      </xdr:spPr>
    </xdr:pic>
  </etc:cellImage>
  <etc:cellImage>
    <xdr:pic>
      <xdr:nvPicPr>
        <xdr:cNvPr id="36" name="ID_1AA0296B563E472398ABB96F20719AC9" descr="Picture"/>
        <xdr:cNvPicPr/>
      </xdr:nvPicPr>
      <xdr:blipFill>
        <a:blip r:embed="rId35" cstate="print"/>
        <a:stretch>
          <a:fillRect/>
        </a:stretch>
      </xdr:blipFill>
      <xdr:spPr>
        <a:xfrm>
          <a:off x="0" y="23920450"/>
          <a:ext cx="619125" cy="676275"/>
        </a:xfrm>
        <a:prstGeom prst="rect">
          <a:avLst/>
        </a:prstGeom>
      </xdr:spPr>
    </xdr:pic>
  </etc:cellImage>
  <etc:cellImage>
    <xdr:pic>
      <xdr:nvPicPr>
        <xdr:cNvPr id="37" name="ID_D2668AD6DE7F4046B522A35A2911FFCB" descr="Picture"/>
        <xdr:cNvPicPr/>
      </xdr:nvPicPr>
      <xdr:blipFill>
        <a:blip r:embed="rId36" cstate="print"/>
        <a:stretch>
          <a:fillRect/>
        </a:stretch>
      </xdr:blipFill>
      <xdr:spPr>
        <a:xfrm>
          <a:off x="0" y="24618950"/>
          <a:ext cx="619125" cy="676275"/>
        </a:xfrm>
        <a:prstGeom prst="rect">
          <a:avLst/>
        </a:prstGeom>
      </xdr:spPr>
    </xdr:pic>
  </etc:cellImage>
  <etc:cellImage>
    <xdr:pic>
      <xdr:nvPicPr>
        <xdr:cNvPr id="38" name="ID_2D4D832B04D8468AAE739E5DE490CBD9" descr="Picture"/>
        <xdr:cNvPicPr/>
      </xdr:nvPicPr>
      <xdr:blipFill>
        <a:blip r:embed="rId37" cstate="print"/>
        <a:stretch>
          <a:fillRect/>
        </a:stretch>
      </xdr:blipFill>
      <xdr:spPr>
        <a:xfrm>
          <a:off x="0" y="25317450"/>
          <a:ext cx="619125" cy="676275"/>
        </a:xfrm>
        <a:prstGeom prst="rect">
          <a:avLst/>
        </a:prstGeom>
      </xdr:spPr>
    </xdr:pic>
  </etc:cellImage>
  <etc:cellImage>
    <xdr:pic>
      <xdr:nvPicPr>
        <xdr:cNvPr id="39" name="ID_00730F379ADF4A35BCB90118FD2D1A4D" descr="Picture"/>
        <xdr:cNvPicPr/>
      </xdr:nvPicPr>
      <xdr:blipFill>
        <a:blip r:embed="rId38" cstate="print"/>
        <a:stretch>
          <a:fillRect/>
        </a:stretch>
      </xdr:blipFill>
      <xdr:spPr>
        <a:xfrm>
          <a:off x="0" y="26015950"/>
          <a:ext cx="619125" cy="676275"/>
        </a:xfrm>
        <a:prstGeom prst="rect">
          <a:avLst/>
        </a:prstGeom>
      </xdr:spPr>
    </xdr:pic>
  </etc:cellImage>
  <etc:cellImage>
    <xdr:pic>
      <xdr:nvPicPr>
        <xdr:cNvPr id="40" name="ID_C145660FB4F74DC9BC04FE6095D25B98" descr="Picture"/>
        <xdr:cNvPicPr/>
      </xdr:nvPicPr>
      <xdr:blipFill>
        <a:blip r:embed="rId39" cstate="print"/>
        <a:stretch>
          <a:fillRect/>
        </a:stretch>
      </xdr:blipFill>
      <xdr:spPr>
        <a:xfrm>
          <a:off x="0" y="26714450"/>
          <a:ext cx="619125" cy="676275"/>
        </a:xfrm>
        <a:prstGeom prst="rect">
          <a:avLst/>
        </a:prstGeom>
      </xdr:spPr>
    </xdr:pic>
  </etc:cellImage>
  <etc:cellImage>
    <xdr:pic>
      <xdr:nvPicPr>
        <xdr:cNvPr id="41" name="ID_04744561A3594DF3BA992280D9CC00B0" descr="Picture"/>
        <xdr:cNvPicPr/>
      </xdr:nvPicPr>
      <xdr:blipFill>
        <a:blip r:embed="rId40" cstate="print"/>
        <a:stretch>
          <a:fillRect/>
        </a:stretch>
      </xdr:blipFill>
      <xdr:spPr>
        <a:xfrm>
          <a:off x="0" y="27412950"/>
          <a:ext cx="619125" cy="676275"/>
        </a:xfrm>
        <a:prstGeom prst="rect">
          <a:avLst/>
        </a:prstGeom>
      </xdr:spPr>
    </xdr:pic>
  </etc:cellImage>
  <etc:cellImage>
    <xdr:pic>
      <xdr:nvPicPr>
        <xdr:cNvPr id="42" name="ID_6B586764DF0646C4AC30F7797D41C6E7" descr="Picture"/>
        <xdr:cNvPicPr/>
      </xdr:nvPicPr>
      <xdr:blipFill>
        <a:blip r:embed="rId41" cstate="print"/>
        <a:stretch>
          <a:fillRect/>
        </a:stretch>
      </xdr:blipFill>
      <xdr:spPr>
        <a:xfrm>
          <a:off x="0" y="28111450"/>
          <a:ext cx="619125" cy="676275"/>
        </a:xfrm>
        <a:prstGeom prst="rect">
          <a:avLst/>
        </a:prstGeom>
      </xdr:spPr>
    </xdr:pic>
  </etc:cellImage>
  <etc:cellImage>
    <xdr:pic>
      <xdr:nvPicPr>
        <xdr:cNvPr id="43" name="ID_F802EF9DA01D411F9E18CE1D75C70A07" descr="Picture"/>
        <xdr:cNvPicPr/>
      </xdr:nvPicPr>
      <xdr:blipFill>
        <a:blip r:embed="rId42" cstate="print"/>
        <a:stretch>
          <a:fillRect/>
        </a:stretch>
      </xdr:blipFill>
      <xdr:spPr>
        <a:xfrm>
          <a:off x="0" y="28809950"/>
          <a:ext cx="619125" cy="676275"/>
        </a:xfrm>
        <a:prstGeom prst="rect">
          <a:avLst/>
        </a:prstGeom>
      </xdr:spPr>
    </xdr:pic>
  </etc:cellImage>
  <etc:cellImage>
    <xdr:pic>
      <xdr:nvPicPr>
        <xdr:cNvPr id="44" name="ID_9B8D24E2B31C48498C4D6C805610BC1D" descr="Picture"/>
        <xdr:cNvPicPr/>
      </xdr:nvPicPr>
      <xdr:blipFill>
        <a:blip r:embed="rId43" cstate="print"/>
        <a:stretch>
          <a:fillRect/>
        </a:stretch>
      </xdr:blipFill>
      <xdr:spPr>
        <a:xfrm>
          <a:off x="0" y="29508450"/>
          <a:ext cx="619125" cy="676275"/>
        </a:xfrm>
        <a:prstGeom prst="rect">
          <a:avLst/>
        </a:prstGeom>
      </xdr:spPr>
    </xdr:pic>
  </etc:cellImage>
  <etc:cellImage>
    <xdr:pic>
      <xdr:nvPicPr>
        <xdr:cNvPr id="45" name="ID_13BF62ED3F17432EB3311189DE1AEDE9" descr="Picture"/>
        <xdr:cNvPicPr/>
      </xdr:nvPicPr>
      <xdr:blipFill>
        <a:blip r:embed="rId44" cstate="print"/>
        <a:stretch>
          <a:fillRect/>
        </a:stretch>
      </xdr:blipFill>
      <xdr:spPr>
        <a:xfrm>
          <a:off x="0" y="30206950"/>
          <a:ext cx="619125" cy="676275"/>
        </a:xfrm>
        <a:prstGeom prst="rect">
          <a:avLst/>
        </a:prstGeom>
      </xdr:spPr>
    </xdr:pic>
  </etc:cellImage>
  <etc:cellImage>
    <xdr:pic>
      <xdr:nvPicPr>
        <xdr:cNvPr id="46" name="ID_66D9C75769EE451CAC0BA39102FF6EC5" descr="Picture"/>
        <xdr:cNvPicPr/>
      </xdr:nvPicPr>
      <xdr:blipFill>
        <a:blip r:embed="rId45" cstate="print"/>
        <a:stretch>
          <a:fillRect/>
        </a:stretch>
      </xdr:blipFill>
      <xdr:spPr>
        <a:xfrm>
          <a:off x="0" y="30905450"/>
          <a:ext cx="619125" cy="676275"/>
        </a:xfrm>
        <a:prstGeom prst="rect">
          <a:avLst/>
        </a:prstGeom>
      </xdr:spPr>
    </xdr:pic>
  </etc:cellImage>
  <etc:cellImage>
    <xdr:pic>
      <xdr:nvPicPr>
        <xdr:cNvPr id="47" name="ID_7E2205A972844B4996137301ECFFCD9A" descr="Picture"/>
        <xdr:cNvPicPr/>
      </xdr:nvPicPr>
      <xdr:blipFill>
        <a:blip r:embed="rId46" cstate="print"/>
        <a:stretch>
          <a:fillRect/>
        </a:stretch>
      </xdr:blipFill>
      <xdr:spPr>
        <a:xfrm>
          <a:off x="0" y="31603950"/>
          <a:ext cx="619125" cy="676275"/>
        </a:xfrm>
        <a:prstGeom prst="rect">
          <a:avLst/>
        </a:prstGeom>
      </xdr:spPr>
    </xdr:pic>
  </etc:cellImage>
  <etc:cellImage>
    <xdr:pic>
      <xdr:nvPicPr>
        <xdr:cNvPr id="48" name="ID_E42D99F6EC0A43C99E5EB01FC4228E2F" descr="Picture"/>
        <xdr:cNvPicPr/>
      </xdr:nvPicPr>
      <xdr:blipFill>
        <a:blip r:embed="rId47" cstate="print"/>
        <a:stretch>
          <a:fillRect/>
        </a:stretch>
      </xdr:blipFill>
      <xdr:spPr>
        <a:xfrm>
          <a:off x="0" y="32302450"/>
          <a:ext cx="619125" cy="676275"/>
        </a:xfrm>
        <a:prstGeom prst="rect">
          <a:avLst/>
        </a:prstGeom>
      </xdr:spPr>
    </xdr:pic>
  </etc:cellImage>
  <etc:cellImage>
    <xdr:pic>
      <xdr:nvPicPr>
        <xdr:cNvPr id="49" name="ID_88B74742A21C47B6BCD55531D322C547" descr="Picture"/>
        <xdr:cNvPicPr/>
      </xdr:nvPicPr>
      <xdr:blipFill>
        <a:blip r:embed="rId48" cstate="print"/>
        <a:stretch>
          <a:fillRect/>
        </a:stretch>
      </xdr:blipFill>
      <xdr:spPr>
        <a:xfrm>
          <a:off x="0" y="33000950"/>
          <a:ext cx="619125" cy="676275"/>
        </a:xfrm>
        <a:prstGeom prst="rect">
          <a:avLst/>
        </a:prstGeom>
      </xdr:spPr>
    </xdr:pic>
  </etc:cellImage>
  <etc:cellImage>
    <xdr:pic>
      <xdr:nvPicPr>
        <xdr:cNvPr id="50" name="ID_5A27D11521F14DFBB510EC448C6DEF15" descr="Picture"/>
        <xdr:cNvPicPr/>
      </xdr:nvPicPr>
      <xdr:blipFill>
        <a:blip r:embed="rId49" cstate="print"/>
        <a:stretch>
          <a:fillRect/>
        </a:stretch>
      </xdr:blipFill>
      <xdr:spPr>
        <a:xfrm>
          <a:off x="0" y="33699450"/>
          <a:ext cx="619125" cy="676275"/>
        </a:xfrm>
        <a:prstGeom prst="rect">
          <a:avLst/>
        </a:prstGeom>
      </xdr:spPr>
    </xdr:pic>
  </etc:cellImage>
  <etc:cellImage>
    <xdr:pic>
      <xdr:nvPicPr>
        <xdr:cNvPr id="51" name="ID_226908140CEF4BA492F712C00C133B90" descr="Picture"/>
        <xdr:cNvPicPr/>
      </xdr:nvPicPr>
      <xdr:blipFill>
        <a:blip r:embed="rId50" cstate="print"/>
        <a:stretch>
          <a:fillRect/>
        </a:stretch>
      </xdr:blipFill>
      <xdr:spPr>
        <a:xfrm>
          <a:off x="0" y="34397950"/>
          <a:ext cx="619125" cy="676275"/>
        </a:xfrm>
        <a:prstGeom prst="rect">
          <a:avLst/>
        </a:prstGeom>
      </xdr:spPr>
    </xdr:pic>
  </etc:cellImage>
  <etc:cellImage>
    <xdr:pic>
      <xdr:nvPicPr>
        <xdr:cNvPr id="52" name="ID_0DD55DF4A7754C2981422EF256C2706A" descr="Picture"/>
        <xdr:cNvPicPr/>
      </xdr:nvPicPr>
      <xdr:blipFill>
        <a:blip r:embed="rId51" cstate="print"/>
        <a:stretch>
          <a:fillRect/>
        </a:stretch>
      </xdr:blipFill>
      <xdr:spPr>
        <a:xfrm>
          <a:off x="0" y="35096450"/>
          <a:ext cx="619125" cy="676275"/>
        </a:xfrm>
        <a:prstGeom prst="rect">
          <a:avLst/>
        </a:prstGeom>
      </xdr:spPr>
    </xdr:pic>
  </etc:cellImage>
  <etc:cellImage>
    <xdr:pic>
      <xdr:nvPicPr>
        <xdr:cNvPr id="53" name="ID_EABD458B2A214B648667277C776BB1B3" descr="Picture"/>
        <xdr:cNvPicPr/>
      </xdr:nvPicPr>
      <xdr:blipFill>
        <a:blip r:embed="rId52" cstate="print"/>
        <a:stretch>
          <a:fillRect/>
        </a:stretch>
      </xdr:blipFill>
      <xdr:spPr>
        <a:xfrm>
          <a:off x="0" y="35794950"/>
          <a:ext cx="619125" cy="676275"/>
        </a:xfrm>
        <a:prstGeom prst="rect">
          <a:avLst/>
        </a:prstGeom>
      </xdr:spPr>
    </xdr:pic>
  </etc:cellImage>
  <etc:cellImage>
    <xdr:pic>
      <xdr:nvPicPr>
        <xdr:cNvPr id="54" name="ID_51B86CC0996E484B8D2485BA7B3932F3" descr="Picture"/>
        <xdr:cNvPicPr/>
      </xdr:nvPicPr>
      <xdr:blipFill>
        <a:blip r:embed="rId53" cstate="print"/>
        <a:stretch>
          <a:fillRect/>
        </a:stretch>
      </xdr:blipFill>
      <xdr:spPr>
        <a:xfrm>
          <a:off x="0" y="36493450"/>
          <a:ext cx="619125" cy="676275"/>
        </a:xfrm>
        <a:prstGeom prst="rect">
          <a:avLst/>
        </a:prstGeom>
      </xdr:spPr>
    </xdr:pic>
  </etc:cellImage>
  <etc:cellImage>
    <xdr:pic>
      <xdr:nvPicPr>
        <xdr:cNvPr id="55" name="ID_450DE3A3932343C288EAB7D03E020974" descr="Picture"/>
        <xdr:cNvPicPr/>
      </xdr:nvPicPr>
      <xdr:blipFill>
        <a:blip r:embed="rId54" cstate="print"/>
        <a:stretch>
          <a:fillRect/>
        </a:stretch>
      </xdr:blipFill>
      <xdr:spPr>
        <a:xfrm>
          <a:off x="0" y="37191950"/>
          <a:ext cx="619125" cy="676275"/>
        </a:xfrm>
        <a:prstGeom prst="rect">
          <a:avLst/>
        </a:prstGeom>
      </xdr:spPr>
    </xdr:pic>
  </etc:cellImage>
  <etc:cellImage>
    <xdr:pic>
      <xdr:nvPicPr>
        <xdr:cNvPr id="56" name="ID_6F1855E122D94198A07FF3B56D923458" descr="Picture"/>
        <xdr:cNvPicPr/>
      </xdr:nvPicPr>
      <xdr:blipFill>
        <a:blip r:embed="rId55" cstate="print"/>
        <a:stretch>
          <a:fillRect/>
        </a:stretch>
      </xdr:blipFill>
      <xdr:spPr>
        <a:xfrm>
          <a:off x="0" y="37890450"/>
          <a:ext cx="619125" cy="676275"/>
        </a:xfrm>
        <a:prstGeom prst="rect">
          <a:avLst/>
        </a:prstGeom>
      </xdr:spPr>
    </xdr:pic>
  </etc:cellImage>
  <etc:cellImage>
    <xdr:pic>
      <xdr:nvPicPr>
        <xdr:cNvPr id="57" name="ID_D23AF714DBB44B4BA5246C0C6EBE9B78" descr="Picture"/>
        <xdr:cNvPicPr/>
      </xdr:nvPicPr>
      <xdr:blipFill>
        <a:blip r:embed="rId56" cstate="print"/>
        <a:stretch>
          <a:fillRect/>
        </a:stretch>
      </xdr:blipFill>
      <xdr:spPr>
        <a:xfrm>
          <a:off x="0" y="38588950"/>
          <a:ext cx="619125" cy="676275"/>
        </a:xfrm>
        <a:prstGeom prst="rect">
          <a:avLst/>
        </a:prstGeom>
      </xdr:spPr>
    </xdr:pic>
  </etc:cellImage>
  <etc:cellImage>
    <xdr:pic>
      <xdr:nvPicPr>
        <xdr:cNvPr id="58" name="ID_F2B343FD0453484D8FB66FF44399DE95" descr="Picture"/>
        <xdr:cNvPicPr/>
      </xdr:nvPicPr>
      <xdr:blipFill>
        <a:blip r:embed="rId57" cstate="print"/>
        <a:stretch>
          <a:fillRect/>
        </a:stretch>
      </xdr:blipFill>
      <xdr:spPr>
        <a:xfrm>
          <a:off x="0" y="39287450"/>
          <a:ext cx="619125" cy="676275"/>
        </a:xfrm>
        <a:prstGeom prst="rect">
          <a:avLst/>
        </a:prstGeom>
      </xdr:spPr>
    </xdr:pic>
  </etc:cellImage>
  <etc:cellImage>
    <xdr:pic>
      <xdr:nvPicPr>
        <xdr:cNvPr id="59" name="ID_90187232657844AAAD4C7B99F8DB7DAD" descr="Picture"/>
        <xdr:cNvPicPr/>
      </xdr:nvPicPr>
      <xdr:blipFill>
        <a:blip r:embed="rId58" cstate="print"/>
        <a:stretch>
          <a:fillRect/>
        </a:stretch>
      </xdr:blipFill>
      <xdr:spPr>
        <a:xfrm>
          <a:off x="0" y="39985950"/>
          <a:ext cx="619125" cy="676275"/>
        </a:xfrm>
        <a:prstGeom prst="rect">
          <a:avLst/>
        </a:prstGeom>
      </xdr:spPr>
    </xdr:pic>
  </etc:cellImage>
  <etc:cellImage>
    <xdr:pic>
      <xdr:nvPicPr>
        <xdr:cNvPr id="60" name="ID_A5BC55DE032A41A2AA8A3B34962549EC" descr="Picture"/>
        <xdr:cNvPicPr/>
      </xdr:nvPicPr>
      <xdr:blipFill>
        <a:blip r:embed="rId59" cstate="print"/>
        <a:stretch>
          <a:fillRect/>
        </a:stretch>
      </xdr:blipFill>
      <xdr:spPr>
        <a:xfrm>
          <a:off x="0" y="40684450"/>
          <a:ext cx="619125" cy="676275"/>
        </a:xfrm>
        <a:prstGeom prst="rect">
          <a:avLst/>
        </a:prstGeom>
      </xdr:spPr>
    </xdr:pic>
  </etc:cellImage>
  <etc:cellImage>
    <xdr:pic>
      <xdr:nvPicPr>
        <xdr:cNvPr id="61" name="ID_2FA8EBF641CA4C72BF23B5A5B2311164" descr="Picture"/>
        <xdr:cNvPicPr/>
      </xdr:nvPicPr>
      <xdr:blipFill>
        <a:blip r:embed="rId60" cstate="print"/>
        <a:stretch>
          <a:fillRect/>
        </a:stretch>
      </xdr:blipFill>
      <xdr:spPr>
        <a:xfrm>
          <a:off x="0" y="41382950"/>
          <a:ext cx="619125" cy="676275"/>
        </a:xfrm>
        <a:prstGeom prst="rect">
          <a:avLst/>
        </a:prstGeom>
      </xdr:spPr>
    </xdr:pic>
  </etc:cellImage>
  <etc:cellImage>
    <xdr:pic>
      <xdr:nvPicPr>
        <xdr:cNvPr id="62" name="ID_994D7013535F4DD9B0D100CA85C3162F" descr="Picture"/>
        <xdr:cNvPicPr/>
      </xdr:nvPicPr>
      <xdr:blipFill>
        <a:blip r:embed="rId61" cstate="print"/>
        <a:stretch>
          <a:fillRect/>
        </a:stretch>
      </xdr:blipFill>
      <xdr:spPr>
        <a:xfrm>
          <a:off x="0" y="42081450"/>
          <a:ext cx="619125" cy="676275"/>
        </a:xfrm>
        <a:prstGeom prst="rect">
          <a:avLst/>
        </a:prstGeom>
      </xdr:spPr>
    </xdr:pic>
  </etc:cellImage>
  <etc:cellImage>
    <xdr:pic>
      <xdr:nvPicPr>
        <xdr:cNvPr id="63" name="ID_7A427E2AF4AF401B94B3EAC81686CC05" descr="Picture"/>
        <xdr:cNvPicPr/>
      </xdr:nvPicPr>
      <xdr:blipFill>
        <a:blip r:embed="rId62" cstate="print"/>
        <a:stretch>
          <a:fillRect/>
        </a:stretch>
      </xdr:blipFill>
      <xdr:spPr>
        <a:xfrm>
          <a:off x="0" y="42779950"/>
          <a:ext cx="619125" cy="676275"/>
        </a:xfrm>
        <a:prstGeom prst="rect">
          <a:avLst/>
        </a:prstGeom>
      </xdr:spPr>
    </xdr:pic>
  </etc:cellImage>
  <etc:cellImage>
    <xdr:pic>
      <xdr:nvPicPr>
        <xdr:cNvPr id="64" name="ID_B806D66D8C524C6EB504BF29807C7146" descr="Picture"/>
        <xdr:cNvPicPr/>
      </xdr:nvPicPr>
      <xdr:blipFill>
        <a:blip r:embed="rId63" cstate="print"/>
        <a:stretch>
          <a:fillRect/>
        </a:stretch>
      </xdr:blipFill>
      <xdr:spPr>
        <a:xfrm>
          <a:off x="0" y="43478450"/>
          <a:ext cx="619125" cy="676275"/>
        </a:xfrm>
        <a:prstGeom prst="rect">
          <a:avLst/>
        </a:prstGeom>
      </xdr:spPr>
    </xdr:pic>
  </etc:cellImage>
  <etc:cellImage>
    <xdr:pic>
      <xdr:nvPicPr>
        <xdr:cNvPr id="65" name="ID_61EB4C586AC844E3808CC3B36AFF0F35" descr="Picture"/>
        <xdr:cNvPicPr/>
      </xdr:nvPicPr>
      <xdr:blipFill>
        <a:blip r:embed="rId64" cstate="print"/>
        <a:stretch>
          <a:fillRect/>
        </a:stretch>
      </xdr:blipFill>
      <xdr:spPr>
        <a:xfrm>
          <a:off x="0" y="44176950"/>
          <a:ext cx="619125" cy="676275"/>
        </a:xfrm>
        <a:prstGeom prst="rect">
          <a:avLst/>
        </a:prstGeom>
      </xdr:spPr>
    </xdr:pic>
  </etc:cellImage>
  <etc:cellImage>
    <xdr:pic>
      <xdr:nvPicPr>
        <xdr:cNvPr id="66" name="ID_ED76E02466A040BF969CE49F245887FE" descr="Picture"/>
        <xdr:cNvPicPr/>
      </xdr:nvPicPr>
      <xdr:blipFill>
        <a:blip r:embed="rId65" cstate="print"/>
        <a:stretch>
          <a:fillRect/>
        </a:stretch>
      </xdr:blipFill>
      <xdr:spPr>
        <a:xfrm>
          <a:off x="0" y="44875450"/>
          <a:ext cx="619125" cy="676275"/>
        </a:xfrm>
        <a:prstGeom prst="rect">
          <a:avLst/>
        </a:prstGeom>
      </xdr:spPr>
    </xdr:pic>
  </etc:cellImage>
  <etc:cellImage>
    <xdr:pic>
      <xdr:nvPicPr>
        <xdr:cNvPr id="67" name="ID_9F204F2833E14BFA88D7E82388ADB9FA" descr="Picture"/>
        <xdr:cNvPicPr/>
      </xdr:nvPicPr>
      <xdr:blipFill>
        <a:blip r:embed="rId66" cstate="print"/>
        <a:stretch>
          <a:fillRect/>
        </a:stretch>
      </xdr:blipFill>
      <xdr:spPr>
        <a:xfrm>
          <a:off x="0" y="45573950"/>
          <a:ext cx="619125" cy="676275"/>
        </a:xfrm>
        <a:prstGeom prst="rect">
          <a:avLst/>
        </a:prstGeom>
      </xdr:spPr>
    </xdr:pic>
  </etc:cellImage>
  <etc:cellImage>
    <xdr:pic>
      <xdr:nvPicPr>
        <xdr:cNvPr id="68" name="ID_7A2AAC49BA324BE2941300FD1605C996" descr="Picture"/>
        <xdr:cNvPicPr/>
      </xdr:nvPicPr>
      <xdr:blipFill>
        <a:blip r:embed="rId67" cstate="print"/>
        <a:stretch>
          <a:fillRect/>
        </a:stretch>
      </xdr:blipFill>
      <xdr:spPr>
        <a:xfrm>
          <a:off x="0" y="46272450"/>
          <a:ext cx="619125" cy="676275"/>
        </a:xfrm>
        <a:prstGeom prst="rect">
          <a:avLst/>
        </a:prstGeom>
      </xdr:spPr>
    </xdr:pic>
  </etc:cellImage>
  <etc:cellImage>
    <xdr:pic>
      <xdr:nvPicPr>
        <xdr:cNvPr id="69" name="ID_920B2084D5354822A86ACAF6B925BE45" descr="Picture"/>
        <xdr:cNvPicPr/>
      </xdr:nvPicPr>
      <xdr:blipFill>
        <a:blip r:embed="rId68" cstate="print"/>
        <a:stretch>
          <a:fillRect/>
        </a:stretch>
      </xdr:blipFill>
      <xdr:spPr>
        <a:xfrm>
          <a:off x="0" y="46970950"/>
          <a:ext cx="619125" cy="676275"/>
        </a:xfrm>
        <a:prstGeom prst="rect">
          <a:avLst/>
        </a:prstGeom>
      </xdr:spPr>
    </xdr:pic>
  </etc:cellImage>
  <etc:cellImage>
    <xdr:pic>
      <xdr:nvPicPr>
        <xdr:cNvPr id="70" name="ID_8E79908797C04DD8B146750902CE66A4" descr="Picture"/>
        <xdr:cNvPicPr/>
      </xdr:nvPicPr>
      <xdr:blipFill>
        <a:blip r:embed="rId69" cstate="print"/>
        <a:stretch>
          <a:fillRect/>
        </a:stretch>
      </xdr:blipFill>
      <xdr:spPr>
        <a:xfrm>
          <a:off x="0" y="47669450"/>
          <a:ext cx="619125" cy="676275"/>
        </a:xfrm>
        <a:prstGeom prst="rect">
          <a:avLst/>
        </a:prstGeom>
      </xdr:spPr>
    </xdr:pic>
  </etc:cellImage>
  <etc:cellImage>
    <xdr:pic>
      <xdr:nvPicPr>
        <xdr:cNvPr id="71" name="ID_2268209D095D450AAD3FA8EDDBC98BAD" descr="Picture"/>
        <xdr:cNvPicPr/>
      </xdr:nvPicPr>
      <xdr:blipFill>
        <a:blip r:embed="rId70" cstate="print"/>
        <a:stretch>
          <a:fillRect/>
        </a:stretch>
      </xdr:blipFill>
      <xdr:spPr>
        <a:xfrm>
          <a:off x="0" y="48367950"/>
          <a:ext cx="619125" cy="676275"/>
        </a:xfrm>
        <a:prstGeom prst="rect">
          <a:avLst/>
        </a:prstGeom>
      </xdr:spPr>
    </xdr:pic>
  </etc:cellImage>
  <etc:cellImage>
    <xdr:pic>
      <xdr:nvPicPr>
        <xdr:cNvPr id="72" name="ID_E2889FB8BA604CB29AC66FE712AF114D" descr="Picture"/>
        <xdr:cNvPicPr/>
      </xdr:nvPicPr>
      <xdr:blipFill>
        <a:blip r:embed="rId71" cstate="print"/>
        <a:stretch>
          <a:fillRect/>
        </a:stretch>
      </xdr:blipFill>
      <xdr:spPr>
        <a:xfrm>
          <a:off x="0" y="49066450"/>
          <a:ext cx="619125" cy="676275"/>
        </a:xfrm>
        <a:prstGeom prst="rect">
          <a:avLst/>
        </a:prstGeom>
      </xdr:spPr>
    </xdr:pic>
  </etc:cellImage>
  <etc:cellImage>
    <xdr:pic>
      <xdr:nvPicPr>
        <xdr:cNvPr id="73" name="ID_B41DB9D16AAC4F24AA2C875337C81DC9" descr="Picture"/>
        <xdr:cNvPicPr/>
      </xdr:nvPicPr>
      <xdr:blipFill>
        <a:blip r:embed="rId72" cstate="print"/>
        <a:stretch>
          <a:fillRect/>
        </a:stretch>
      </xdr:blipFill>
      <xdr:spPr>
        <a:xfrm>
          <a:off x="0" y="49764950"/>
          <a:ext cx="619125" cy="676275"/>
        </a:xfrm>
        <a:prstGeom prst="rect">
          <a:avLst/>
        </a:prstGeom>
      </xdr:spPr>
    </xdr:pic>
  </etc:cellImage>
  <etc:cellImage>
    <xdr:pic>
      <xdr:nvPicPr>
        <xdr:cNvPr id="74" name="ID_755BECF1DC2343B79D823606C27C186C" descr="Picture"/>
        <xdr:cNvPicPr/>
      </xdr:nvPicPr>
      <xdr:blipFill>
        <a:blip r:embed="rId73" cstate="print"/>
        <a:stretch>
          <a:fillRect/>
        </a:stretch>
      </xdr:blipFill>
      <xdr:spPr>
        <a:xfrm>
          <a:off x="0" y="50463450"/>
          <a:ext cx="619125" cy="676275"/>
        </a:xfrm>
        <a:prstGeom prst="rect">
          <a:avLst/>
        </a:prstGeom>
      </xdr:spPr>
    </xdr:pic>
  </etc:cellImage>
  <etc:cellImage>
    <xdr:pic>
      <xdr:nvPicPr>
        <xdr:cNvPr id="75" name="ID_8F47B0D862F84129B5437A0C4B92617C" descr="Picture"/>
        <xdr:cNvPicPr/>
      </xdr:nvPicPr>
      <xdr:blipFill>
        <a:blip r:embed="rId74" cstate="print"/>
        <a:stretch>
          <a:fillRect/>
        </a:stretch>
      </xdr:blipFill>
      <xdr:spPr>
        <a:xfrm>
          <a:off x="0" y="51161950"/>
          <a:ext cx="619125" cy="676275"/>
        </a:xfrm>
        <a:prstGeom prst="rect">
          <a:avLst/>
        </a:prstGeom>
      </xdr:spPr>
    </xdr:pic>
  </etc:cellImage>
  <etc:cellImage>
    <xdr:pic>
      <xdr:nvPicPr>
        <xdr:cNvPr id="76" name="ID_3E4B44EC51994E94A4C4A3D9F1AE0E3A" descr="Picture"/>
        <xdr:cNvPicPr/>
      </xdr:nvPicPr>
      <xdr:blipFill>
        <a:blip r:embed="rId75" cstate="print"/>
        <a:stretch>
          <a:fillRect/>
        </a:stretch>
      </xdr:blipFill>
      <xdr:spPr>
        <a:xfrm>
          <a:off x="0" y="51860450"/>
          <a:ext cx="619125" cy="676275"/>
        </a:xfrm>
        <a:prstGeom prst="rect">
          <a:avLst/>
        </a:prstGeom>
      </xdr:spPr>
    </xdr:pic>
  </etc:cellImage>
  <etc:cellImage>
    <xdr:pic>
      <xdr:nvPicPr>
        <xdr:cNvPr id="77" name="ID_CB19F7DC4A1F489483BC9721ACC410F0" descr="Picture"/>
        <xdr:cNvPicPr/>
      </xdr:nvPicPr>
      <xdr:blipFill>
        <a:blip r:embed="rId76" cstate="print"/>
        <a:stretch>
          <a:fillRect/>
        </a:stretch>
      </xdr:blipFill>
      <xdr:spPr>
        <a:xfrm>
          <a:off x="0" y="52558950"/>
          <a:ext cx="619125" cy="676275"/>
        </a:xfrm>
        <a:prstGeom prst="rect">
          <a:avLst/>
        </a:prstGeom>
      </xdr:spPr>
    </xdr:pic>
  </etc:cellImage>
  <etc:cellImage>
    <xdr:pic>
      <xdr:nvPicPr>
        <xdr:cNvPr id="78" name="ID_1D8BB0EE56934656945D1E37E82ABF00" descr="Picture"/>
        <xdr:cNvPicPr/>
      </xdr:nvPicPr>
      <xdr:blipFill>
        <a:blip r:embed="rId77" cstate="print"/>
        <a:stretch>
          <a:fillRect/>
        </a:stretch>
      </xdr:blipFill>
      <xdr:spPr>
        <a:xfrm>
          <a:off x="0" y="53257450"/>
          <a:ext cx="619125" cy="676275"/>
        </a:xfrm>
        <a:prstGeom prst="rect">
          <a:avLst/>
        </a:prstGeom>
      </xdr:spPr>
    </xdr:pic>
  </etc:cellImage>
  <etc:cellImage>
    <xdr:pic>
      <xdr:nvPicPr>
        <xdr:cNvPr id="79" name="ID_F9C7927414964E08A3C01ED5BBE6D721" descr="Picture"/>
        <xdr:cNvPicPr/>
      </xdr:nvPicPr>
      <xdr:blipFill>
        <a:blip r:embed="rId78" cstate="print"/>
        <a:stretch>
          <a:fillRect/>
        </a:stretch>
      </xdr:blipFill>
      <xdr:spPr>
        <a:xfrm>
          <a:off x="0" y="53955950"/>
          <a:ext cx="619125" cy="676275"/>
        </a:xfrm>
        <a:prstGeom prst="rect">
          <a:avLst/>
        </a:prstGeom>
      </xdr:spPr>
    </xdr:pic>
  </etc:cellImage>
  <etc:cellImage>
    <xdr:pic>
      <xdr:nvPicPr>
        <xdr:cNvPr id="80" name="ID_6B58FE53BFD9422A907B5480F802D1D8" descr="Picture"/>
        <xdr:cNvPicPr/>
      </xdr:nvPicPr>
      <xdr:blipFill>
        <a:blip r:embed="rId79" cstate="print"/>
        <a:stretch>
          <a:fillRect/>
        </a:stretch>
      </xdr:blipFill>
      <xdr:spPr>
        <a:xfrm>
          <a:off x="0" y="54654450"/>
          <a:ext cx="619125" cy="676275"/>
        </a:xfrm>
        <a:prstGeom prst="rect">
          <a:avLst/>
        </a:prstGeom>
      </xdr:spPr>
    </xdr:pic>
  </etc:cellImage>
  <etc:cellImage>
    <xdr:pic>
      <xdr:nvPicPr>
        <xdr:cNvPr id="81" name="ID_9A2D2F76FF5942318E0B64EE7109C3C2" descr="Picture"/>
        <xdr:cNvPicPr/>
      </xdr:nvPicPr>
      <xdr:blipFill>
        <a:blip r:embed="rId80" cstate="print"/>
        <a:stretch>
          <a:fillRect/>
        </a:stretch>
      </xdr:blipFill>
      <xdr:spPr>
        <a:xfrm>
          <a:off x="0" y="55352950"/>
          <a:ext cx="619125" cy="676275"/>
        </a:xfrm>
        <a:prstGeom prst="rect">
          <a:avLst/>
        </a:prstGeom>
      </xdr:spPr>
    </xdr:pic>
  </etc:cellImage>
  <etc:cellImage>
    <xdr:pic>
      <xdr:nvPicPr>
        <xdr:cNvPr id="82" name="ID_C9FA610F8F5241E4AD106873F153DBA2" descr="Picture"/>
        <xdr:cNvPicPr/>
      </xdr:nvPicPr>
      <xdr:blipFill>
        <a:blip r:embed="rId81" cstate="print"/>
        <a:stretch>
          <a:fillRect/>
        </a:stretch>
      </xdr:blipFill>
      <xdr:spPr>
        <a:xfrm>
          <a:off x="0" y="56051450"/>
          <a:ext cx="619125" cy="676275"/>
        </a:xfrm>
        <a:prstGeom prst="rect">
          <a:avLst/>
        </a:prstGeom>
      </xdr:spPr>
    </xdr:pic>
  </etc:cellImage>
  <etc:cellImage>
    <xdr:pic>
      <xdr:nvPicPr>
        <xdr:cNvPr id="83" name="ID_B8D269FC269B45F6A841468927279550" descr="Picture"/>
        <xdr:cNvPicPr/>
      </xdr:nvPicPr>
      <xdr:blipFill>
        <a:blip r:embed="rId82" cstate="print"/>
        <a:stretch>
          <a:fillRect/>
        </a:stretch>
      </xdr:blipFill>
      <xdr:spPr>
        <a:xfrm>
          <a:off x="0" y="56749950"/>
          <a:ext cx="619125" cy="676275"/>
        </a:xfrm>
        <a:prstGeom prst="rect">
          <a:avLst/>
        </a:prstGeom>
      </xdr:spPr>
    </xdr:pic>
  </etc:cellImage>
  <etc:cellImage>
    <xdr:pic>
      <xdr:nvPicPr>
        <xdr:cNvPr id="84" name="ID_D372E44BB81E4830BF21AD948C14AC2C" descr="Picture"/>
        <xdr:cNvPicPr/>
      </xdr:nvPicPr>
      <xdr:blipFill>
        <a:blip r:embed="rId83" cstate="print"/>
        <a:stretch>
          <a:fillRect/>
        </a:stretch>
      </xdr:blipFill>
      <xdr:spPr>
        <a:xfrm>
          <a:off x="0" y="57448450"/>
          <a:ext cx="619125" cy="676275"/>
        </a:xfrm>
        <a:prstGeom prst="rect">
          <a:avLst/>
        </a:prstGeom>
      </xdr:spPr>
    </xdr:pic>
  </etc:cellImage>
  <etc:cellImage>
    <xdr:pic>
      <xdr:nvPicPr>
        <xdr:cNvPr id="85" name="ID_5E7E2BDC18AC41D5ADB5AD66C04CABE4" descr="Picture"/>
        <xdr:cNvPicPr/>
      </xdr:nvPicPr>
      <xdr:blipFill>
        <a:blip r:embed="rId84" cstate="print"/>
        <a:stretch>
          <a:fillRect/>
        </a:stretch>
      </xdr:blipFill>
      <xdr:spPr>
        <a:xfrm>
          <a:off x="0" y="58146950"/>
          <a:ext cx="619125" cy="676275"/>
        </a:xfrm>
        <a:prstGeom prst="rect">
          <a:avLst/>
        </a:prstGeom>
      </xdr:spPr>
    </xdr:pic>
  </etc:cellImage>
  <etc:cellImage>
    <xdr:pic>
      <xdr:nvPicPr>
        <xdr:cNvPr id="86" name="ID_DF05C3870B224F1E953B833586202B04" descr="Picture"/>
        <xdr:cNvPicPr/>
      </xdr:nvPicPr>
      <xdr:blipFill>
        <a:blip r:embed="rId85" cstate="print"/>
        <a:stretch>
          <a:fillRect/>
        </a:stretch>
      </xdr:blipFill>
      <xdr:spPr>
        <a:xfrm>
          <a:off x="0" y="58845450"/>
          <a:ext cx="619125" cy="676275"/>
        </a:xfrm>
        <a:prstGeom prst="rect">
          <a:avLst/>
        </a:prstGeom>
      </xdr:spPr>
    </xdr:pic>
  </etc:cellImage>
  <etc:cellImage>
    <xdr:pic>
      <xdr:nvPicPr>
        <xdr:cNvPr id="87" name="ID_AEB4B74A7EAE4167A24C749CC008491A" descr="Picture"/>
        <xdr:cNvPicPr/>
      </xdr:nvPicPr>
      <xdr:blipFill>
        <a:blip r:embed="rId86" cstate="print"/>
        <a:stretch>
          <a:fillRect/>
        </a:stretch>
      </xdr:blipFill>
      <xdr:spPr>
        <a:xfrm>
          <a:off x="0" y="59543950"/>
          <a:ext cx="619125" cy="676275"/>
        </a:xfrm>
        <a:prstGeom prst="rect">
          <a:avLst/>
        </a:prstGeom>
      </xdr:spPr>
    </xdr:pic>
  </etc:cellImage>
  <etc:cellImage>
    <xdr:pic>
      <xdr:nvPicPr>
        <xdr:cNvPr id="88" name="ID_5E9AFDDC6BAA42068E135C46714C78C4" descr="Picture"/>
        <xdr:cNvPicPr/>
      </xdr:nvPicPr>
      <xdr:blipFill>
        <a:blip r:embed="rId87" cstate="print"/>
        <a:stretch>
          <a:fillRect/>
        </a:stretch>
      </xdr:blipFill>
      <xdr:spPr>
        <a:xfrm>
          <a:off x="0" y="60242450"/>
          <a:ext cx="619125" cy="676275"/>
        </a:xfrm>
        <a:prstGeom prst="rect">
          <a:avLst/>
        </a:prstGeom>
      </xdr:spPr>
    </xdr:pic>
  </etc:cellImage>
  <etc:cellImage>
    <xdr:pic>
      <xdr:nvPicPr>
        <xdr:cNvPr id="89" name="ID_B5C885670E494323A313FEEE65C6968D" descr="Picture"/>
        <xdr:cNvPicPr/>
      </xdr:nvPicPr>
      <xdr:blipFill>
        <a:blip r:embed="rId88" cstate="print"/>
        <a:stretch>
          <a:fillRect/>
        </a:stretch>
      </xdr:blipFill>
      <xdr:spPr>
        <a:xfrm>
          <a:off x="0" y="60940950"/>
          <a:ext cx="619125" cy="676275"/>
        </a:xfrm>
        <a:prstGeom prst="rect">
          <a:avLst/>
        </a:prstGeom>
      </xdr:spPr>
    </xdr:pic>
  </etc:cellImage>
  <etc:cellImage>
    <xdr:pic>
      <xdr:nvPicPr>
        <xdr:cNvPr id="90" name="ID_D4A342391CAB4640844686891FEE38F6" descr="Picture"/>
        <xdr:cNvPicPr/>
      </xdr:nvPicPr>
      <xdr:blipFill>
        <a:blip r:embed="rId89" cstate="print"/>
        <a:stretch>
          <a:fillRect/>
        </a:stretch>
      </xdr:blipFill>
      <xdr:spPr>
        <a:xfrm>
          <a:off x="0" y="61639450"/>
          <a:ext cx="619125" cy="676275"/>
        </a:xfrm>
        <a:prstGeom prst="rect">
          <a:avLst/>
        </a:prstGeom>
      </xdr:spPr>
    </xdr:pic>
  </etc:cellImage>
  <etc:cellImage>
    <xdr:pic>
      <xdr:nvPicPr>
        <xdr:cNvPr id="91" name="ID_B43D9C1D14ED4786B30B4BA30C181F8A" descr="Picture"/>
        <xdr:cNvPicPr/>
      </xdr:nvPicPr>
      <xdr:blipFill>
        <a:blip r:embed="rId90" cstate="print"/>
        <a:stretch>
          <a:fillRect/>
        </a:stretch>
      </xdr:blipFill>
      <xdr:spPr>
        <a:xfrm>
          <a:off x="0" y="62337950"/>
          <a:ext cx="619125" cy="676275"/>
        </a:xfrm>
        <a:prstGeom prst="rect">
          <a:avLst/>
        </a:prstGeom>
      </xdr:spPr>
    </xdr:pic>
  </etc:cellImage>
  <etc:cellImage>
    <xdr:pic>
      <xdr:nvPicPr>
        <xdr:cNvPr id="92" name="ID_3869D81FC1B1425790166025EE07D8F8" descr="Picture"/>
        <xdr:cNvPicPr/>
      </xdr:nvPicPr>
      <xdr:blipFill>
        <a:blip r:embed="rId91" cstate="print"/>
        <a:stretch>
          <a:fillRect/>
        </a:stretch>
      </xdr:blipFill>
      <xdr:spPr>
        <a:xfrm>
          <a:off x="0" y="63036450"/>
          <a:ext cx="619125" cy="676275"/>
        </a:xfrm>
        <a:prstGeom prst="rect">
          <a:avLst/>
        </a:prstGeom>
      </xdr:spPr>
    </xdr:pic>
  </etc:cellImage>
  <etc:cellImage>
    <xdr:pic>
      <xdr:nvPicPr>
        <xdr:cNvPr id="93" name="ID_9E06C9AE176B4AF694D34704F142883F" descr="Picture"/>
        <xdr:cNvPicPr/>
      </xdr:nvPicPr>
      <xdr:blipFill>
        <a:blip r:embed="rId92" cstate="print"/>
        <a:stretch>
          <a:fillRect/>
        </a:stretch>
      </xdr:blipFill>
      <xdr:spPr>
        <a:xfrm>
          <a:off x="0" y="63734950"/>
          <a:ext cx="619125" cy="676275"/>
        </a:xfrm>
        <a:prstGeom prst="rect">
          <a:avLst/>
        </a:prstGeom>
      </xdr:spPr>
    </xdr:pic>
  </etc:cellImage>
  <etc:cellImage>
    <xdr:pic>
      <xdr:nvPicPr>
        <xdr:cNvPr id="94" name="ID_CCFC0C9E43F4459BB61DC33FA07564C7" descr="Picture"/>
        <xdr:cNvPicPr/>
      </xdr:nvPicPr>
      <xdr:blipFill>
        <a:blip r:embed="rId93" cstate="print"/>
        <a:stretch>
          <a:fillRect/>
        </a:stretch>
      </xdr:blipFill>
      <xdr:spPr>
        <a:xfrm>
          <a:off x="0" y="64433450"/>
          <a:ext cx="619125" cy="676275"/>
        </a:xfrm>
        <a:prstGeom prst="rect">
          <a:avLst/>
        </a:prstGeom>
      </xdr:spPr>
    </xdr:pic>
  </etc:cellImage>
  <etc:cellImage>
    <xdr:pic>
      <xdr:nvPicPr>
        <xdr:cNvPr id="95" name="ID_E51DA15587B94D32B4405DF6C754315C" descr="Picture"/>
        <xdr:cNvPicPr/>
      </xdr:nvPicPr>
      <xdr:blipFill>
        <a:blip r:embed="rId94" cstate="print"/>
        <a:stretch>
          <a:fillRect/>
        </a:stretch>
      </xdr:blipFill>
      <xdr:spPr>
        <a:xfrm>
          <a:off x="0" y="65131950"/>
          <a:ext cx="619125" cy="676275"/>
        </a:xfrm>
        <a:prstGeom prst="rect">
          <a:avLst/>
        </a:prstGeom>
      </xdr:spPr>
    </xdr:pic>
  </etc:cellImage>
  <etc:cellImage>
    <xdr:pic>
      <xdr:nvPicPr>
        <xdr:cNvPr id="96" name="ID_CF5ACE4C5BD0488FB93D8ED8AA0A2B84" descr="Picture"/>
        <xdr:cNvPicPr/>
      </xdr:nvPicPr>
      <xdr:blipFill>
        <a:blip r:embed="rId95" cstate="print"/>
        <a:stretch>
          <a:fillRect/>
        </a:stretch>
      </xdr:blipFill>
      <xdr:spPr>
        <a:xfrm>
          <a:off x="0" y="65830450"/>
          <a:ext cx="619125" cy="676275"/>
        </a:xfrm>
        <a:prstGeom prst="rect">
          <a:avLst/>
        </a:prstGeom>
      </xdr:spPr>
    </xdr:pic>
  </etc:cellImage>
  <etc:cellImage>
    <xdr:pic>
      <xdr:nvPicPr>
        <xdr:cNvPr id="97" name="ID_588EE83DE7E64D0287EAA5BB1CA42E26" descr="Picture"/>
        <xdr:cNvPicPr/>
      </xdr:nvPicPr>
      <xdr:blipFill>
        <a:blip r:embed="rId96" cstate="print"/>
        <a:stretch>
          <a:fillRect/>
        </a:stretch>
      </xdr:blipFill>
      <xdr:spPr>
        <a:xfrm>
          <a:off x="0" y="66528950"/>
          <a:ext cx="619125" cy="676275"/>
        </a:xfrm>
        <a:prstGeom prst="rect">
          <a:avLst/>
        </a:prstGeom>
      </xdr:spPr>
    </xdr:pic>
  </etc:cellImage>
  <etc:cellImage>
    <xdr:pic>
      <xdr:nvPicPr>
        <xdr:cNvPr id="98" name="ID_C9FC291546504A1D9EA029B4E47027D3" descr="Picture"/>
        <xdr:cNvPicPr/>
      </xdr:nvPicPr>
      <xdr:blipFill>
        <a:blip r:embed="rId97" cstate="print"/>
        <a:stretch>
          <a:fillRect/>
        </a:stretch>
      </xdr:blipFill>
      <xdr:spPr>
        <a:xfrm>
          <a:off x="0" y="67227450"/>
          <a:ext cx="619125" cy="676275"/>
        </a:xfrm>
        <a:prstGeom prst="rect">
          <a:avLst/>
        </a:prstGeom>
      </xdr:spPr>
    </xdr:pic>
  </etc:cellImage>
  <etc:cellImage>
    <xdr:pic>
      <xdr:nvPicPr>
        <xdr:cNvPr id="99" name="ID_D73E48A6121145CF8861C0E3605DF79C" descr="Picture"/>
        <xdr:cNvPicPr/>
      </xdr:nvPicPr>
      <xdr:blipFill>
        <a:blip r:embed="rId98" cstate="print"/>
        <a:stretch>
          <a:fillRect/>
        </a:stretch>
      </xdr:blipFill>
      <xdr:spPr>
        <a:xfrm>
          <a:off x="0" y="67925950"/>
          <a:ext cx="619125" cy="676275"/>
        </a:xfrm>
        <a:prstGeom prst="rect">
          <a:avLst/>
        </a:prstGeom>
      </xdr:spPr>
    </xdr:pic>
  </etc:cellImage>
  <etc:cellImage>
    <xdr:pic>
      <xdr:nvPicPr>
        <xdr:cNvPr id="100" name="ID_33AB1D7D15CF4D679B68C70134A0E6A5" descr="Picture"/>
        <xdr:cNvPicPr/>
      </xdr:nvPicPr>
      <xdr:blipFill>
        <a:blip r:embed="rId99" cstate="print"/>
        <a:stretch>
          <a:fillRect/>
        </a:stretch>
      </xdr:blipFill>
      <xdr:spPr>
        <a:xfrm>
          <a:off x="0" y="68624450"/>
          <a:ext cx="619125" cy="676275"/>
        </a:xfrm>
        <a:prstGeom prst="rect">
          <a:avLst/>
        </a:prstGeom>
      </xdr:spPr>
    </xdr:pic>
  </etc:cellImage>
  <etc:cellImage>
    <xdr:pic>
      <xdr:nvPicPr>
        <xdr:cNvPr id="101" name="ID_B21C0C44B8B64A018F495CB81F0C4571" descr="Picture"/>
        <xdr:cNvPicPr/>
      </xdr:nvPicPr>
      <xdr:blipFill>
        <a:blip r:embed="rId100" cstate="print"/>
        <a:stretch>
          <a:fillRect/>
        </a:stretch>
      </xdr:blipFill>
      <xdr:spPr>
        <a:xfrm>
          <a:off x="0" y="69322950"/>
          <a:ext cx="619125" cy="676275"/>
        </a:xfrm>
        <a:prstGeom prst="rect">
          <a:avLst/>
        </a:prstGeom>
      </xdr:spPr>
    </xdr:pic>
  </etc:cellImage>
  <etc:cellImage>
    <xdr:pic>
      <xdr:nvPicPr>
        <xdr:cNvPr id="102" name="ID_AB7F5A04DEB744DCBDA34DBB99C289FB" descr="Picture"/>
        <xdr:cNvPicPr/>
      </xdr:nvPicPr>
      <xdr:blipFill>
        <a:blip r:embed="rId101" cstate="print"/>
        <a:stretch>
          <a:fillRect/>
        </a:stretch>
      </xdr:blipFill>
      <xdr:spPr>
        <a:xfrm>
          <a:off x="0" y="70021450"/>
          <a:ext cx="619125" cy="676275"/>
        </a:xfrm>
        <a:prstGeom prst="rect">
          <a:avLst/>
        </a:prstGeom>
      </xdr:spPr>
    </xdr:pic>
  </etc:cellImage>
  <etc:cellImage>
    <xdr:pic>
      <xdr:nvPicPr>
        <xdr:cNvPr id="103" name="ID_EFBFF3F16B2D425B9243247E976E6F2E" descr="Picture"/>
        <xdr:cNvPicPr/>
      </xdr:nvPicPr>
      <xdr:blipFill>
        <a:blip r:embed="rId102" cstate="print"/>
        <a:stretch>
          <a:fillRect/>
        </a:stretch>
      </xdr:blipFill>
      <xdr:spPr>
        <a:xfrm>
          <a:off x="0" y="70719950"/>
          <a:ext cx="619125" cy="676275"/>
        </a:xfrm>
        <a:prstGeom prst="rect">
          <a:avLst/>
        </a:prstGeom>
      </xdr:spPr>
    </xdr:pic>
  </etc:cellImage>
  <etc:cellImage>
    <xdr:pic>
      <xdr:nvPicPr>
        <xdr:cNvPr id="104" name="ID_146C527CA1E749FBBACC60D7B2501783" descr="Picture"/>
        <xdr:cNvPicPr/>
      </xdr:nvPicPr>
      <xdr:blipFill>
        <a:blip r:embed="rId103" cstate="print"/>
        <a:stretch>
          <a:fillRect/>
        </a:stretch>
      </xdr:blipFill>
      <xdr:spPr>
        <a:xfrm>
          <a:off x="0" y="71418450"/>
          <a:ext cx="619125" cy="676275"/>
        </a:xfrm>
        <a:prstGeom prst="rect">
          <a:avLst/>
        </a:prstGeom>
      </xdr:spPr>
    </xdr:pic>
  </etc:cellImage>
  <etc:cellImage>
    <xdr:pic>
      <xdr:nvPicPr>
        <xdr:cNvPr id="105" name="ID_68D20672E9F64EC0AE4C2141BA0911B9" descr="Picture"/>
        <xdr:cNvPicPr/>
      </xdr:nvPicPr>
      <xdr:blipFill>
        <a:blip r:embed="rId104" cstate="print"/>
        <a:stretch>
          <a:fillRect/>
        </a:stretch>
      </xdr:blipFill>
      <xdr:spPr>
        <a:xfrm>
          <a:off x="0" y="72116950"/>
          <a:ext cx="619125" cy="676275"/>
        </a:xfrm>
        <a:prstGeom prst="rect">
          <a:avLst/>
        </a:prstGeom>
      </xdr:spPr>
    </xdr:pic>
  </etc:cellImage>
  <etc:cellImage>
    <xdr:pic>
      <xdr:nvPicPr>
        <xdr:cNvPr id="106" name="ID_3AC976B5A4824FA5A3A5C427A6BD8C0A" descr="Picture"/>
        <xdr:cNvPicPr/>
      </xdr:nvPicPr>
      <xdr:blipFill>
        <a:blip r:embed="rId105" cstate="print"/>
        <a:stretch>
          <a:fillRect/>
        </a:stretch>
      </xdr:blipFill>
      <xdr:spPr>
        <a:xfrm>
          <a:off x="0" y="72815450"/>
          <a:ext cx="619125" cy="676275"/>
        </a:xfrm>
        <a:prstGeom prst="rect">
          <a:avLst/>
        </a:prstGeom>
      </xdr:spPr>
    </xdr:pic>
  </etc:cellImage>
  <etc:cellImage>
    <xdr:pic>
      <xdr:nvPicPr>
        <xdr:cNvPr id="107" name="ID_1E966351456144C59C1A213B71FCB7C8" descr="Picture"/>
        <xdr:cNvPicPr/>
      </xdr:nvPicPr>
      <xdr:blipFill>
        <a:blip r:embed="rId106" cstate="print"/>
        <a:stretch>
          <a:fillRect/>
        </a:stretch>
      </xdr:blipFill>
      <xdr:spPr>
        <a:xfrm>
          <a:off x="0" y="73513950"/>
          <a:ext cx="619125" cy="676275"/>
        </a:xfrm>
        <a:prstGeom prst="rect">
          <a:avLst/>
        </a:prstGeom>
      </xdr:spPr>
    </xdr:pic>
  </etc:cellImage>
  <etc:cellImage>
    <xdr:pic>
      <xdr:nvPicPr>
        <xdr:cNvPr id="108" name="ID_F27A2F389F4E46D49D92A8CAC07727F7" descr="Picture"/>
        <xdr:cNvPicPr/>
      </xdr:nvPicPr>
      <xdr:blipFill>
        <a:blip r:embed="rId107" cstate="print"/>
        <a:stretch>
          <a:fillRect/>
        </a:stretch>
      </xdr:blipFill>
      <xdr:spPr>
        <a:xfrm>
          <a:off x="0" y="74212450"/>
          <a:ext cx="619125" cy="676275"/>
        </a:xfrm>
        <a:prstGeom prst="rect">
          <a:avLst/>
        </a:prstGeom>
      </xdr:spPr>
    </xdr:pic>
  </etc:cellImage>
  <etc:cellImage>
    <xdr:pic>
      <xdr:nvPicPr>
        <xdr:cNvPr id="109" name="ID_8094D49D74F84D2A998D4F984A774695" descr="Picture"/>
        <xdr:cNvPicPr/>
      </xdr:nvPicPr>
      <xdr:blipFill>
        <a:blip r:embed="rId108" cstate="print"/>
        <a:stretch>
          <a:fillRect/>
        </a:stretch>
      </xdr:blipFill>
      <xdr:spPr>
        <a:xfrm>
          <a:off x="0" y="74910950"/>
          <a:ext cx="619125" cy="676275"/>
        </a:xfrm>
        <a:prstGeom prst="rect">
          <a:avLst/>
        </a:prstGeom>
      </xdr:spPr>
    </xdr:pic>
  </etc:cellImage>
  <etc:cellImage>
    <xdr:pic>
      <xdr:nvPicPr>
        <xdr:cNvPr id="110" name="ID_80C209AC76FD40A2B9AF8DBDA38AE2BC" descr="Picture"/>
        <xdr:cNvPicPr/>
      </xdr:nvPicPr>
      <xdr:blipFill>
        <a:blip r:embed="rId109" cstate="print"/>
        <a:stretch>
          <a:fillRect/>
        </a:stretch>
      </xdr:blipFill>
      <xdr:spPr>
        <a:xfrm>
          <a:off x="0" y="75609450"/>
          <a:ext cx="619125" cy="676275"/>
        </a:xfrm>
        <a:prstGeom prst="rect">
          <a:avLst/>
        </a:prstGeom>
      </xdr:spPr>
    </xdr:pic>
  </etc:cellImage>
  <etc:cellImage>
    <xdr:pic>
      <xdr:nvPicPr>
        <xdr:cNvPr id="111" name="ID_08A69984C03748BEA3BE5D74EC7781AF" descr="Picture"/>
        <xdr:cNvPicPr/>
      </xdr:nvPicPr>
      <xdr:blipFill>
        <a:blip r:embed="rId110" cstate="print"/>
        <a:stretch>
          <a:fillRect/>
        </a:stretch>
      </xdr:blipFill>
      <xdr:spPr>
        <a:xfrm>
          <a:off x="0" y="76307950"/>
          <a:ext cx="619125" cy="676275"/>
        </a:xfrm>
        <a:prstGeom prst="rect">
          <a:avLst/>
        </a:prstGeom>
      </xdr:spPr>
    </xdr:pic>
  </etc:cellImage>
  <etc:cellImage>
    <xdr:pic>
      <xdr:nvPicPr>
        <xdr:cNvPr id="112" name="ID_2D953EC6B2164E0EB62354AA7381FFC5" descr="Picture"/>
        <xdr:cNvPicPr/>
      </xdr:nvPicPr>
      <xdr:blipFill>
        <a:blip r:embed="rId111" cstate="print"/>
        <a:stretch>
          <a:fillRect/>
        </a:stretch>
      </xdr:blipFill>
      <xdr:spPr>
        <a:xfrm>
          <a:off x="0" y="77006450"/>
          <a:ext cx="619125" cy="676275"/>
        </a:xfrm>
        <a:prstGeom prst="rect">
          <a:avLst/>
        </a:prstGeom>
      </xdr:spPr>
    </xdr:pic>
  </etc:cellImage>
  <etc:cellImage>
    <xdr:pic>
      <xdr:nvPicPr>
        <xdr:cNvPr id="113" name="ID_DE1990F7836540E889E6922B4F701BF3" descr="Picture"/>
        <xdr:cNvPicPr/>
      </xdr:nvPicPr>
      <xdr:blipFill>
        <a:blip r:embed="rId112" cstate="print"/>
        <a:stretch>
          <a:fillRect/>
        </a:stretch>
      </xdr:blipFill>
      <xdr:spPr>
        <a:xfrm>
          <a:off x="0" y="77704950"/>
          <a:ext cx="619125" cy="676275"/>
        </a:xfrm>
        <a:prstGeom prst="rect">
          <a:avLst/>
        </a:prstGeom>
      </xdr:spPr>
    </xdr:pic>
  </etc:cellImage>
  <etc:cellImage>
    <xdr:pic>
      <xdr:nvPicPr>
        <xdr:cNvPr id="114" name="ID_81FD04C7C8B447439310CF31FA9A08B6" descr="Picture"/>
        <xdr:cNvPicPr/>
      </xdr:nvPicPr>
      <xdr:blipFill>
        <a:blip r:embed="rId113" cstate="print"/>
        <a:stretch>
          <a:fillRect/>
        </a:stretch>
      </xdr:blipFill>
      <xdr:spPr>
        <a:xfrm>
          <a:off x="0" y="78403450"/>
          <a:ext cx="619125" cy="676275"/>
        </a:xfrm>
        <a:prstGeom prst="rect">
          <a:avLst/>
        </a:prstGeom>
      </xdr:spPr>
    </xdr:pic>
  </etc:cellImage>
  <etc:cellImage>
    <xdr:pic>
      <xdr:nvPicPr>
        <xdr:cNvPr id="115" name="ID_21129BC638474996B987AAC0BE1C7102" descr="Picture"/>
        <xdr:cNvPicPr/>
      </xdr:nvPicPr>
      <xdr:blipFill>
        <a:blip r:embed="rId114" cstate="print"/>
        <a:stretch>
          <a:fillRect/>
        </a:stretch>
      </xdr:blipFill>
      <xdr:spPr>
        <a:xfrm>
          <a:off x="0" y="79101950"/>
          <a:ext cx="619125" cy="676275"/>
        </a:xfrm>
        <a:prstGeom prst="rect">
          <a:avLst/>
        </a:prstGeom>
      </xdr:spPr>
    </xdr:pic>
  </etc:cellImage>
  <etc:cellImage>
    <xdr:pic>
      <xdr:nvPicPr>
        <xdr:cNvPr id="116" name="ID_8749A29BFA174EF4B1E1D821DFBC1C59" descr="Picture"/>
        <xdr:cNvPicPr/>
      </xdr:nvPicPr>
      <xdr:blipFill>
        <a:blip r:embed="rId115" cstate="print"/>
        <a:stretch>
          <a:fillRect/>
        </a:stretch>
      </xdr:blipFill>
      <xdr:spPr>
        <a:xfrm>
          <a:off x="0" y="79800450"/>
          <a:ext cx="619125" cy="676275"/>
        </a:xfrm>
        <a:prstGeom prst="rect">
          <a:avLst/>
        </a:prstGeom>
      </xdr:spPr>
    </xdr:pic>
  </etc:cellImage>
  <etc:cellImage>
    <xdr:pic>
      <xdr:nvPicPr>
        <xdr:cNvPr id="117" name="ID_D1AAFDB80C08450F8214069994609637" descr="Picture"/>
        <xdr:cNvPicPr/>
      </xdr:nvPicPr>
      <xdr:blipFill>
        <a:blip r:embed="rId116" cstate="print"/>
        <a:stretch>
          <a:fillRect/>
        </a:stretch>
      </xdr:blipFill>
      <xdr:spPr>
        <a:xfrm>
          <a:off x="0" y="80498950"/>
          <a:ext cx="619125" cy="676275"/>
        </a:xfrm>
        <a:prstGeom prst="rect">
          <a:avLst/>
        </a:prstGeom>
      </xdr:spPr>
    </xdr:pic>
  </etc:cellImage>
  <etc:cellImage>
    <xdr:pic>
      <xdr:nvPicPr>
        <xdr:cNvPr id="118" name="ID_93269C190F10412CAA6BAF9C4D4CD861" descr="Picture"/>
        <xdr:cNvPicPr/>
      </xdr:nvPicPr>
      <xdr:blipFill>
        <a:blip r:embed="rId117" cstate="print"/>
        <a:stretch>
          <a:fillRect/>
        </a:stretch>
      </xdr:blipFill>
      <xdr:spPr>
        <a:xfrm>
          <a:off x="0" y="81197450"/>
          <a:ext cx="619125" cy="676275"/>
        </a:xfrm>
        <a:prstGeom prst="rect">
          <a:avLst/>
        </a:prstGeom>
      </xdr:spPr>
    </xdr:pic>
  </etc:cellImage>
  <etc:cellImage>
    <xdr:pic>
      <xdr:nvPicPr>
        <xdr:cNvPr id="119" name="ID_86EAA2A7A305415FB9F913ADB4E6ED95" descr="Picture"/>
        <xdr:cNvPicPr/>
      </xdr:nvPicPr>
      <xdr:blipFill>
        <a:blip r:embed="rId118" cstate="print"/>
        <a:stretch>
          <a:fillRect/>
        </a:stretch>
      </xdr:blipFill>
      <xdr:spPr>
        <a:xfrm>
          <a:off x="0" y="81895950"/>
          <a:ext cx="619125" cy="676275"/>
        </a:xfrm>
        <a:prstGeom prst="rect">
          <a:avLst/>
        </a:prstGeom>
      </xdr:spPr>
    </xdr:pic>
  </etc:cellImage>
  <etc:cellImage>
    <xdr:pic>
      <xdr:nvPicPr>
        <xdr:cNvPr id="120" name="ID_D81D6B3FF3A945CF842EA13192719006" descr="Picture"/>
        <xdr:cNvPicPr/>
      </xdr:nvPicPr>
      <xdr:blipFill>
        <a:blip r:embed="rId119" cstate="print"/>
        <a:stretch>
          <a:fillRect/>
        </a:stretch>
      </xdr:blipFill>
      <xdr:spPr>
        <a:xfrm>
          <a:off x="0" y="82594450"/>
          <a:ext cx="619125" cy="676275"/>
        </a:xfrm>
        <a:prstGeom prst="rect">
          <a:avLst/>
        </a:prstGeom>
      </xdr:spPr>
    </xdr:pic>
  </etc:cellImage>
  <etc:cellImage>
    <xdr:pic>
      <xdr:nvPicPr>
        <xdr:cNvPr id="121" name="ID_6C14CB1AEAD9490DA17020C348DB374D" descr="Picture"/>
        <xdr:cNvPicPr/>
      </xdr:nvPicPr>
      <xdr:blipFill>
        <a:blip r:embed="rId120" cstate="print"/>
        <a:stretch>
          <a:fillRect/>
        </a:stretch>
      </xdr:blipFill>
      <xdr:spPr>
        <a:xfrm>
          <a:off x="0" y="83292950"/>
          <a:ext cx="619125" cy="676275"/>
        </a:xfrm>
        <a:prstGeom prst="rect">
          <a:avLst/>
        </a:prstGeom>
      </xdr:spPr>
    </xdr:pic>
  </etc:cellImage>
  <etc:cellImage>
    <xdr:pic>
      <xdr:nvPicPr>
        <xdr:cNvPr id="122" name="ID_F750596C80CE4C73B617154FEDD8FC27" descr="Picture"/>
        <xdr:cNvPicPr/>
      </xdr:nvPicPr>
      <xdr:blipFill>
        <a:blip r:embed="rId121" cstate="print"/>
        <a:stretch>
          <a:fillRect/>
        </a:stretch>
      </xdr:blipFill>
      <xdr:spPr>
        <a:xfrm>
          <a:off x="0" y="83991450"/>
          <a:ext cx="619125" cy="676275"/>
        </a:xfrm>
        <a:prstGeom prst="rect">
          <a:avLst/>
        </a:prstGeom>
      </xdr:spPr>
    </xdr:pic>
  </etc:cellImage>
  <etc:cellImage>
    <xdr:pic>
      <xdr:nvPicPr>
        <xdr:cNvPr id="123" name="ID_0BC3A642F1444B4EB7009A7C102641DC" descr="Picture"/>
        <xdr:cNvPicPr/>
      </xdr:nvPicPr>
      <xdr:blipFill>
        <a:blip r:embed="rId122" cstate="print"/>
        <a:stretch>
          <a:fillRect/>
        </a:stretch>
      </xdr:blipFill>
      <xdr:spPr>
        <a:xfrm>
          <a:off x="0" y="84689950"/>
          <a:ext cx="619125" cy="676275"/>
        </a:xfrm>
        <a:prstGeom prst="rect">
          <a:avLst/>
        </a:prstGeom>
      </xdr:spPr>
    </xdr:pic>
  </etc:cellImage>
  <etc:cellImage>
    <xdr:pic>
      <xdr:nvPicPr>
        <xdr:cNvPr id="124" name="ID_CD485527FE2142E59548447AC75BFC55" descr="Picture"/>
        <xdr:cNvPicPr/>
      </xdr:nvPicPr>
      <xdr:blipFill>
        <a:blip r:embed="rId123" cstate="print"/>
        <a:stretch>
          <a:fillRect/>
        </a:stretch>
      </xdr:blipFill>
      <xdr:spPr>
        <a:xfrm>
          <a:off x="0" y="85388450"/>
          <a:ext cx="619125" cy="676275"/>
        </a:xfrm>
        <a:prstGeom prst="rect">
          <a:avLst/>
        </a:prstGeom>
      </xdr:spPr>
    </xdr:pic>
  </etc:cellImage>
  <etc:cellImage>
    <xdr:pic>
      <xdr:nvPicPr>
        <xdr:cNvPr id="125" name="ID_94BF595D80694E2AAE310F9461BCF7D9" descr="Picture"/>
        <xdr:cNvPicPr/>
      </xdr:nvPicPr>
      <xdr:blipFill>
        <a:blip r:embed="rId124" cstate="print"/>
        <a:stretch>
          <a:fillRect/>
        </a:stretch>
      </xdr:blipFill>
      <xdr:spPr>
        <a:xfrm>
          <a:off x="0" y="86086950"/>
          <a:ext cx="619125" cy="676275"/>
        </a:xfrm>
        <a:prstGeom prst="rect">
          <a:avLst/>
        </a:prstGeom>
      </xdr:spPr>
    </xdr:pic>
  </etc:cellImage>
  <etc:cellImage>
    <xdr:pic>
      <xdr:nvPicPr>
        <xdr:cNvPr id="126" name="ID_5594CB9463284100AFBD93ED3BC23144" descr="Picture"/>
        <xdr:cNvPicPr/>
      </xdr:nvPicPr>
      <xdr:blipFill>
        <a:blip r:embed="rId125" cstate="print"/>
        <a:stretch>
          <a:fillRect/>
        </a:stretch>
      </xdr:blipFill>
      <xdr:spPr>
        <a:xfrm>
          <a:off x="0" y="86785450"/>
          <a:ext cx="619125" cy="676275"/>
        </a:xfrm>
        <a:prstGeom prst="rect">
          <a:avLst/>
        </a:prstGeom>
      </xdr:spPr>
    </xdr:pic>
  </etc:cellImage>
  <etc:cellImage>
    <xdr:pic>
      <xdr:nvPicPr>
        <xdr:cNvPr id="127" name="ID_734F5BC2BB584F2D81F45E1892D0D5A1" descr="Picture"/>
        <xdr:cNvPicPr/>
      </xdr:nvPicPr>
      <xdr:blipFill>
        <a:blip r:embed="rId126" cstate="print"/>
        <a:stretch>
          <a:fillRect/>
        </a:stretch>
      </xdr:blipFill>
      <xdr:spPr>
        <a:xfrm>
          <a:off x="0" y="87483950"/>
          <a:ext cx="619125" cy="676275"/>
        </a:xfrm>
        <a:prstGeom prst="rect">
          <a:avLst/>
        </a:prstGeom>
      </xdr:spPr>
    </xdr:pic>
  </etc:cellImage>
  <etc:cellImage>
    <xdr:pic>
      <xdr:nvPicPr>
        <xdr:cNvPr id="128" name="ID_4CCD48ADF0D041AEB249E8AB654862CD" descr="Picture"/>
        <xdr:cNvPicPr/>
      </xdr:nvPicPr>
      <xdr:blipFill>
        <a:blip r:embed="rId127" cstate="print"/>
        <a:stretch>
          <a:fillRect/>
        </a:stretch>
      </xdr:blipFill>
      <xdr:spPr>
        <a:xfrm>
          <a:off x="0" y="88182450"/>
          <a:ext cx="619125" cy="676275"/>
        </a:xfrm>
        <a:prstGeom prst="rect">
          <a:avLst/>
        </a:prstGeom>
      </xdr:spPr>
    </xdr:pic>
  </etc:cellImage>
  <etc:cellImage>
    <xdr:pic>
      <xdr:nvPicPr>
        <xdr:cNvPr id="129" name="ID_3066B399F08B499B9C2A0CD7263F1100" descr="Picture"/>
        <xdr:cNvPicPr/>
      </xdr:nvPicPr>
      <xdr:blipFill>
        <a:blip r:embed="rId128" cstate="print"/>
        <a:stretch>
          <a:fillRect/>
        </a:stretch>
      </xdr:blipFill>
      <xdr:spPr>
        <a:xfrm>
          <a:off x="0" y="88880950"/>
          <a:ext cx="619125" cy="676275"/>
        </a:xfrm>
        <a:prstGeom prst="rect">
          <a:avLst/>
        </a:prstGeom>
      </xdr:spPr>
    </xdr:pic>
  </etc:cellImage>
  <etc:cellImage>
    <xdr:pic>
      <xdr:nvPicPr>
        <xdr:cNvPr id="130" name="ID_D4F40A0698364C53A398C582F69D3BA4" descr="Picture"/>
        <xdr:cNvPicPr/>
      </xdr:nvPicPr>
      <xdr:blipFill>
        <a:blip r:embed="rId129" cstate="print"/>
        <a:stretch>
          <a:fillRect/>
        </a:stretch>
      </xdr:blipFill>
      <xdr:spPr>
        <a:xfrm>
          <a:off x="0" y="89579450"/>
          <a:ext cx="619125" cy="676275"/>
        </a:xfrm>
        <a:prstGeom prst="rect">
          <a:avLst/>
        </a:prstGeom>
      </xdr:spPr>
    </xdr:pic>
  </etc:cellImage>
  <etc:cellImage>
    <xdr:pic>
      <xdr:nvPicPr>
        <xdr:cNvPr id="131" name="ID_70E56FAAACC546779DC2B56999C932CC" descr="Picture"/>
        <xdr:cNvPicPr/>
      </xdr:nvPicPr>
      <xdr:blipFill>
        <a:blip r:embed="rId130" cstate="print"/>
        <a:stretch>
          <a:fillRect/>
        </a:stretch>
      </xdr:blipFill>
      <xdr:spPr>
        <a:xfrm>
          <a:off x="0" y="90277950"/>
          <a:ext cx="619125" cy="676275"/>
        </a:xfrm>
        <a:prstGeom prst="rect">
          <a:avLst/>
        </a:prstGeom>
      </xdr:spPr>
    </xdr:pic>
  </etc:cellImage>
  <etc:cellImage>
    <xdr:pic>
      <xdr:nvPicPr>
        <xdr:cNvPr id="132" name="ID_AEDD21688490470AB3E5AB9C56D9D1B4" descr="Picture"/>
        <xdr:cNvPicPr/>
      </xdr:nvPicPr>
      <xdr:blipFill>
        <a:blip r:embed="rId131" cstate="print"/>
        <a:stretch>
          <a:fillRect/>
        </a:stretch>
      </xdr:blipFill>
      <xdr:spPr>
        <a:xfrm>
          <a:off x="0" y="90976450"/>
          <a:ext cx="619125" cy="676275"/>
        </a:xfrm>
        <a:prstGeom prst="rect">
          <a:avLst/>
        </a:prstGeom>
      </xdr:spPr>
    </xdr:pic>
  </etc:cellImage>
  <etc:cellImage>
    <xdr:pic>
      <xdr:nvPicPr>
        <xdr:cNvPr id="133" name="ID_29292508E6AD4464BAD91EE289BB6E2A" descr="Picture"/>
        <xdr:cNvPicPr/>
      </xdr:nvPicPr>
      <xdr:blipFill>
        <a:blip r:embed="rId132" cstate="print"/>
        <a:stretch>
          <a:fillRect/>
        </a:stretch>
      </xdr:blipFill>
      <xdr:spPr>
        <a:xfrm>
          <a:off x="0" y="91674950"/>
          <a:ext cx="619125" cy="676275"/>
        </a:xfrm>
        <a:prstGeom prst="rect">
          <a:avLst/>
        </a:prstGeom>
      </xdr:spPr>
    </xdr:pic>
  </etc:cellImage>
  <etc:cellImage>
    <xdr:pic>
      <xdr:nvPicPr>
        <xdr:cNvPr id="134" name="ID_6059F62F679742FE870A01C7322D7A90" descr="Picture"/>
        <xdr:cNvPicPr/>
      </xdr:nvPicPr>
      <xdr:blipFill>
        <a:blip r:embed="rId133" cstate="print"/>
        <a:stretch>
          <a:fillRect/>
        </a:stretch>
      </xdr:blipFill>
      <xdr:spPr>
        <a:xfrm>
          <a:off x="0" y="92373450"/>
          <a:ext cx="619125" cy="676275"/>
        </a:xfrm>
        <a:prstGeom prst="rect">
          <a:avLst/>
        </a:prstGeom>
      </xdr:spPr>
    </xdr:pic>
  </etc:cellImage>
  <etc:cellImage>
    <xdr:pic>
      <xdr:nvPicPr>
        <xdr:cNvPr id="135" name="ID_48249F17F0BD4462AE19AB1EEE1B1A90" descr="Picture"/>
        <xdr:cNvPicPr/>
      </xdr:nvPicPr>
      <xdr:blipFill>
        <a:blip r:embed="rId134" cstate="print"/>
        <a:stretch>
          <a:fillRect/>
        </a:stretch>
      </xdr:blipFill>
      <xdr:spPr>
        <a:xfrm>
          <a:off x="0" y="93071950"/>
          <a:ext cx="619125" cy="676275"/>
        </a:xfrm>
        <a:prstGeom prst="rect">
          <a:avLst/>
        </a:prstGeom>
      </xdr:spPr>
    </xdr:pic>
  </etc:cellImage>
  <etc:cellImage>
    <xdr:pic>
      <xdr:nvPicPr>
        <xdr:cNvPr id="136" name="ID_CDC95CC126D547DAB3DF8BA32BBE0ADB" descr="Picture"/>
        <xdr:cNvPicPr/>
      </xdr:nvPicPr>
      <xdr:blipFill>
        <a:blip r:embed="rId135" cstate="print"/>
        <a:stretch>
          <a:fillRect/>
        </a:stretch>
      </xdr:blipFill>
      <xdr:spPr>
        <a:xfrm>
          <a:off x="0" y="93770450"/>
          <a:ext cx="619125" cy="676275"/>
        </a:xfrm>
        <a:prstGeom prst="rect">
          <a:avLst/>
        </a:prstGeom>
      </xdr:spPr>
    </xdr:pic>
  </etc:cellImage>
  <etc:cellImage>
    <xdr:pic>
      <xdr:nvPicPr>
        <xdr:cNvPr id="137" name="ID_B32A974D51EF44DEA6FEDA6E253B7B93" descr="Picture"/>
        <xdr:cNvPicPr/>
      </xdr:nvPicPr>
      <xdr:blipFill>
        <a:blip r:embed="rId136" cstate="print"/>
        <a:stretch>
          <a:fillRect/>
        </a:stretch>
      </xdr:blipFill>
      <xdr:spPr>
        <a:xfrm>
          <a:off x="0" y="94468950"/>
          <a:ext cx="619125" cy="676275"/>
        </a:xfrm>
        <a:prstGeom prst="rect">
          <a:avLst/>
        </a:prstGeom>
      </xdr:spPr>
    </xdr:pic>
  </etc:cellImage>
  <etc:cellImage>
    <xdr:pic>
      <xdr:nvPicPr>
        <xdr:cNvPr id="138" name="ID_7B5822A83F6045F98965B2FFF7B6BE46" descr="Picture"/>
        <xdr:cNvPicPr/>
      </xdr:nvPicPr>
      <xdr:blipFill>
        <a:blip r:embed="rId137" cstate="print"/>
        <a:stretch>
          <a:fillRect/>
        </a:stretch>
      </xdr:blipFill>
      <xdr:spPr>
        <a:xfrm>
          <a:off x="0" y="95167450"/>
          <a:ext cx="619125" cy="676275"/>
        </a:xfrm>
        <a:prstGeom prst="rect">
          <a:avLst/>
        </a:prstGeom>
      </xdr:spPr>
    </xdr:pic>
  </etc:cellImage>
  <etc:cellImage>
    <xdr:pic>
      <xdr:nvPicPr>
        <xdr:cNvPr id="139" name="ID_957B5758C91C4FFE9AD87878E573DD5F" descr="Picture"/>
        <xdr:cNvPicPr/>
      </xdr:nvPicPr>
      <xdr:blipFill>
        <a:blip r:embed="rId138" cstate="print"/>
        <a:stretch>
          <a:fillRect/>
        </a:stretch>
      </xdr:blipFill>
      <xdr:spPr>
        <a:xfrm>
          <a:off x="0" y="95865950"/>
          <a:ext cx="619125" cy="676275"/>
        </a:xfrm>
        <a:prstGeom prst="rect">
          <a:avLst/>
        </a:prstGeom>
      </xdr:spPr>
    </xdr:pic>
  </etc:cellImage>
  <etc:cellImage>
    <xdr:pic>
      <xdr:nvPicPr>
        <xdr:cNvPr id="140" name="ID_50D08D0F295743D287009A817D9EDF03" descr="Picture"/>
        <xdr:cNvPicPr/>
      </xdr:nvPicPr>
      <xdr:blipFill>
        <a:blip r:embed="rId139" cstate="print"/>
        <a:stretch>
          <a:fillRect/>
        </a:stretch>
      </xdr:blipFill>
      <xdr:spPr>
        <a:xfrm>
          <a:off x="0" y="96564450"/>
          <a:ext cx="619125" cy="676275"/>
        </a:xfrm>
        <a:prstGeom prst="rect">
          <a:avLst/>
        </a:prstGeom>
      </xdr:spPr>
    </xdr:pic>
  </etc:cellImage>
  <etc:cellImage>
    <xdr:pic>
      <xdr:nvPicPr>
        <xdr:cNvPr id="141" name="ID_C073DF894F114FDAB3EAFB809AF2F318" descr="Picture"/>
        <xdr:cNvPicPr/>
      </xdr:nvPicPr>
      <xdr:blipFill>
        <a:blip r:embed="rId140" cstate="print"/>
        <a:stretch>
          <a:fillRect/>
        </a:stretch>
      </xdr:blipFill>
      <xdr:spPr>
        <a:xfrm>
          <a:off x="0" y="97262950"/>
          <a:ext cx="619125" cy="676275"/>
        </a:xfrm>
        <a:prstGeom prst="rect">
          <a:avLst/>
        </a:prstGeom>
      </xdr:spPr>
    </xdr:pic>
  </etc:cellImage>
  <etc:cellImage>
    <xdr:pic>
      <xdr:nvPicPr>
        <xdr:cNvPr id="142" name="ID_1CFC604B65D3406EB61D857801C6BD9D" descr="Picture"/>
        <xdr:cNvPicPr/>
      </xdr:nvPicPr>
      <xdr:blipFill>
        <a:blip r:embed="rId141" cstate="print"/>
        <a:stretch>
          <a:fillRect/>
        </a:stretch>
      </xdr:blipFill>
      <xdr:spPr>
        <a:xfrm>
          <a:off x="0" y="97961450"/>
          <a:ext cx="619125" cy="676275"/>
        </a:xfrm>
        <a:prstGeom prst="rect">
          <a:avLst/>
        </a:prstGeom>
      </xdr:spPr>
    </xdr:pic>
  </etc:cellImage>
  <etc:cellImage>
    <xdr:pic>
      <xdr:nvPicPr>
        <xdr:cNvPr id="143" name="ID_DD4E67CF5CF44F4682EC39DE727268D0" descr="Picture"/>
        <xdr:cNvPicPr/>
      </xdr:nvPicPr>
      <xdr:blipFill>
        <a:blip r:embed="rId142" cstate="print"/>
        <a:stretch>
          <a:fillRect/>
        </a:stretch>
      </xdr:blipFill>
      <xdr:spPr>
        <a:xfrm>
          <a:off x="0" y="98659950"/>
          <a:ext cx="619125" cy="676275"/>
        </a:xfrm>
        <a:prstGeom prst="rect">
          <a:avLst/>
        </a:prstGeom>
      </xdr:spPr>
    </xdr:pic>
  </etc:cellImage>
  <etc:cellImage>
    <xdr:pic>
      <xdr:nvPicPr>
        <xdr:cNvPr id="144" name="ID_77A592DDEE4548A0B8DD873F54FC5D07" descr="Picture"/>
        <xdr:cNvPicPr/>
      </xdr:nvPicPr>
      <xdr:blipFill>
        <a:blip r:embed="rId143" cstate="print"/>
        <a:stretch>
          <a:fillRect/>
        </a:stretch>
      </xdr:blipFill>
      <xdr:spPr>
        <a:xfrm>
          <a:off x="0" y="99358450"/>
          <a:ext cx="619125" cy="676275"/>
        </a:xfrm>
        <a:prstGeom prst="rect">
          <a:avLst/>
        </a:prstGeom>
      </xdr:spPr>
    </xdr:pic>
  </etc:cellImage>
  <etc:cellImage>
    <xdr:pic>
      <xdr:nvPicPr>
        <xdr:cNvPr id="145" name="ID_06D27E4E592B42D38FA6F0542030FC1C" descr="Picture"/>
        <xdr:cNvPicPr/>
      </xdr:nvPicPr>
      <xdr:blipFill>
        <a:blip r:embed="rId144" cstate="print"/>
        <a:stretch>
          <a:fillRect/>
        </a:stretch>
      </xdr:blipFill>
      <xdr:spPr>
        <a:xfrm>
          <a:off x="0" y="100056950"/>
          <a:ext cx="619125" cy="676275"/>
        </a:xfrm>
        <a:prstGeom prst="rect">
          <a:avLst/>
        </a:prstGeom>
      </xdr:spPr>
    </xdr:pic>
  </etc:cellImage>
  <etc:cellImage>
    <xdr:pic>
      <xdr:nvPicPr>
        <xdr:cNvPr id="146" name="ID_97434615D7D34C4689693E90F1B2CF96" descr="Picture"/>
        <xdr:cNvPicPr/>
      </xdr:nvPicPr>
      <xdr:blipFill>
        <a:blip r:embed="rId145" cstate="print"/>
        <a:stretch>
          <a:fillRect/>
        </a:stretch>
      </xdr:blipFill>
      <xdr:spPr>
        <a:xfrm>
          <a:off x="0" y="100755450"/>
          <a:ext cx="619125" cy="676275"/>
        </a:xfrm>
        <a:prstGeom prst="rect">
          <a:avLst/>
        </a:prstGeom>
      </xdr:spPr>
    </xdr:pic>
  </etc:cellImage>
  <etc:cellImage>
    <xdr:pic>
      <xdr:nvPicPr>
        <xdr:cNvPr id="147" name="ID_4DFC0A83835D4C86A47EDB94DAAE32D8" descr="Picture"/>
        <xdr:cNvPicPr/>
      </xdr:nvPicPr>
      <xdr:blipFill>
        <a:blip r:embed="rId146" cstate="print"/>
        <a:stretch>
          <a:fillRect/>
        </a:stretch>
      </xdr:blipFill>
      <xdr:spPr>
        <a:xfrm>
          <a:off x="0" y="101453950"/>
          <a:ext cx="619125" cy="676275"/>
        </a:xfrm>
        <a:prstGeom prst="rect">
          <a:avLst/>
        </a:prstGeom>
      </xdr:spPr>
    </xdr:pic>
  </etc:cellImage>
  <etc:cellImage>
    <xdr:pic>
      <xdr:nvPicPr>
        <xdr:cNvPr id="148" name="ID_E2AC64F1AB394EDCB66D44141971CD01" descr="Picture"/>
        <xdr:cNvPicPr/>
      </xdr:nvPicPr>
      <xdr:blipFill>
        <a:blip r:embed="rId147" cstate="print"/>
        <a:stretch>
          <a:fillRect/>
        </a:stretch>
      </xdr:blipFill>
      <xdr:spPr>
        <a:xfrm>
          <a:off x="0" y="102152450"/>
          <a:ext cx="619125" cy="676275"/>
        </a:xfrm>
        <a:prstGeom prst="rect">
          <a:avLst/>
        </a:prstGeom>
      </xdr:spPr>
    </xdr:pic>
  </etc:cellImage>
  <etc:cellImage>
    <xdr:pic>
      <xdr:nvPicPr>
        <xdr:cNvPr id="149" name="ID_AD1B3B042678401C82B345705B0D5047" descr="Picture"/>
        <xdr:cNvPicPr/>
      </xdr:nvPicPr>
      <xdr:blipFill>
        <a:blip r:embed="rId148" cstate="print"/>
        <a:stretch>
          <a:fillRect/>
        </a:stretch>
      </xdr:blipFill>
      <xdr:spPr>
        <a:xfrm>
          <a:off x="0" y="102850950"/>
          <a:ext cx="619125" cy="676275"/>
        </a:xfrm>
        <a:prstGeom prst="rect">
          <a:avLst/>
        </a:prstGeom>
      </xdr:spPr>
    </xdr:pic>
  </etc:cellImage>
  <etc:cellImage>
    <xdr:pic>
      <xdr:nvPicPr>
        <xdr:cNvPr id="150" name="ID_3E75F49E471D4C20B3B93D4670A8A62C" descr="Picture"/>
        <xdr:cNvPicPr/>
      </xdr:nvPicPr>
      <xdr:blipFill>
        <a:blip r:embed="rId149" cstate="print"/>
        <a:stretch>
          <a:fillRect/>
        </a:stretch>
      </xdr:blipFill>
      <xdr:spPr>
        <a:xfrm>
          <a:off x="0" y="103549450"/>
          <a:ext cx="619125" cy="676275"/>
        </a:xfrm>
        <a:prstGeom prst="rect">
          <a:avLst/>
        </a:prstGeom>
      </xdr:spPr>
    </xdr:pic>
  </etc:cellImage>
  <etc:cellImage>
    <xdr:pic>
      <xdr:nvPicPr>
        <xdr:cNvPr id="151" name="ID_FEE605E02B1A43CB86B93F224DD27811" descr="Picture"/>
        <xdr:cNvPicPr/>
      </xdr:nvPicPr>
      <xdr:blipFill>
        <a:blip r:embed="rId150" cstate="print"/>
        <a:stretch>
          <a:fillRect/>
        </a:stretch>
      </xdr:blipFill>
      <xdr:spPr>
        <a:xfrm>
          <a:off x="0" y="104247950"/>
          <a:ext cx="619125" cy="676275"/>
        </a:xfrm>
        <a:prstGeom prst="rect">
          <a:avLst/>
        </a:prstGeom>
      </xdr:spPr>
    </xdr:pic>
  </etc:cellImage>
  <etc:cellImage>
    <xdr:pic>
      <xdr:nvPicPr>
        <xdr:cNvPr id="152" name="ID_C07967F4F41A4F6197AAF67E1F87E9B5" descr="Picture"/>
        <xdr:cNvPicPr/>
      </xdr:nvPicPr>
      <xdr:blipFill>
        <a:blip r:embed="rId151" cstate="print"/>
        <a:stretch>
          <a:fillRect/>
        </a:stretch>
      </xdr:blipFill>
      <xdr:spPr>
        <a:xfrm>
          <a:off x="0" y="104946450"/>
          <a:ext cx="619125" cy="676275"/>
        </a:xfrm>
        <a:prstGeom prst="rect">
          <a:avLst/>
        </a:prstGeom>
      </xdr:spPr>
    </xdr:pic>
  </etc:cellImage>
  <etc:cellImage>
    <xdr:pic>
      <xdr:nvPicPr>
        <xdr:cNvPr id="153" name="ID_85F6F710542A447EB4C66DB88C9565D7" descr="Picture"/>
        <xdr:cNvPicPr/>
      </xdr:nvPicPr>
      <xdr:blipFill>
        <a:blip r:embed="rId152" cstate="print"/>
        <a:stretch>
          <a:fillRect/>
        </a:stretch>
      </xdr:blipFill>
      <xdr:spPr>
        <a:xfrm>
          <a:off x="0" y="105644950"/>
          <a:ext cx="619125" cy="676275"/>
        </a:xfrm>
        <a:prstGeom prst="rect">
          <a:avLst/>
        </a:prstGeom>
      </xdr:spPr>
    </xdr:pic>
  </etc:cellImage>
  <etc:cellImage>
    <xdr:pic>
      <xdr:nvPicPr>
        <xdr:cNvPr id="154" name="ID_B2E565B5C2EB4E32AEE2B6EBA89ECC39" descr="Picture"/>
        <xdr:cNvPicPr/>
      </xdr:nvPicPr>
      <xdr:blipFill>
        <a:blip r:embed="rId153" cstate="print"/>
        <a:stretch>
          <a:fillRect/>
        </a:stretch>
      </xdr:blipFill>
      <xdr:spPr>
        <a:xfrm>
          <a:off x="0" y="106343450"/>
          <a:ext cx="619125" cy="676275"/>
        </a:xfrm>
        <a:prstGeom prst="rect">
          <a:avLst/>
        </a:prstGeom>
      </xdr:spPr>
    </xdr:pic>
  </etc:cellImage>
  <etc:cellImage>
    <xdr:pic>
      <xdr:nvPicPr>
        <xdr:cNvPr id="155" name="ID_EF00C44165514EE08E09678EF933A9F6" descr="Picture"/>
        <xdr:cNvPicPr/>
      </xdr:nvPicPr>
      <xdr:blipFill>
        <a:blip r:embed="rId154" cstate="print"/>
        <a:stretch>
          <a:fillRect/>
        </a:stretch>
      </xdr:blipFill>
      <xdr:spPr>
        <a:xfrm>
          <a:off x="0" y="107041950"/>
          <a:ext cx="619125" cy="676275"/>
        </a:xfrm>
        <a:prstGeom prst="rect">
          <a:avLst/>
        </a:prstGeom>
      </xdr:spPr>
    </xdr:pic>
  </etc:cellImage>
  <etc:cellImage>
    <xdr:pic>
      <xdr:nvPicPr>
        <xdr:cNvPr id="156" name="ID_44FA970D154644CEA1A1EA4AA3233365" descr="Picture"/>
        <xdr:cNvPicPr/>
      </xdr:nvPicPr>
      <xdr:blipFill>
        <a:blip r:embed="rId155" cstate="print"/>
        <a:stretch>
          <a:fillRect/>
        </a:stretch>
      </xdr:blipFill>
      <xdr:spPr>
        <a:xfrm>
          <a:off x="0" y="107740450"/>
          <a:ext cx="619125" cy="676275"/>
        </a:xfrm>
        <a:prstGeom prst="rect">
          <a:avLst/>
        </a:prstGeom>
      </xdr:spPr>
    </xdr:pic>
  </etc:cellImage>
  <etc:cellImage>
    <xdr:pic>
      <xdr:nvPicPr>
        <xdr:cNvPr id="157" name="ID_94BB96BF92D74FADA3763750DA972F57" descr="Picture"/>
        <xdr:cNvPicPr/>
      </xdr:nvPicPr>
      <xdr:blipFill>
        <a:blip r:embed="rId156" cstate="print"/>
        <a:stretch>
          <a:fillRect/>
        </a:stretch>
      </xdr:blipFill>
      <xdr:spPr>
        <a:xfrm>
          <a:off x="0" y="108438950"/>
          <a:ext cx="619125" cy="676275"/>
        </a:xfrm>
        <a:prstGeom prst="rect">
          <a:avLst/>
        </a:prstGeom>
      </xdr:spPr>
    </xdr:pic>
  </etc:cellImage>
  <etc:cellImage>
    <xdr:pic>
      <xdr:nvPicPr>
        <xdr:cNvPr id="158" name="ID_413EF2AB7612454FB4F8E7417207FE84" descr="Picture"/>
        <xdr:cNvPicPr/>
      </xdr:nvPicPr>
      <xdr:blipFill>
        <a:blip r:embed="rId157" cstate="print"/>
        <a:stretch>
          <a:fillRect/>
        </a:stretch>
      </xdr:blipFill>
      <xdr:spPr>
        <a:xfrm>
          <a:off x="0" y="109137450"/>
          <a:ext cx="619125" cy="676275"/>
        </a:xfrm>
        <a:prstGeom prst="rect">
          <a:avLst/>
        </a:prstGeom>
      </xdr:spPr>
    </xdr:pic>
  </etc:cellImage>
  <etc:cellImage>
    <xdr:pic>
      <xdr:nvPicPr>
        <xdr:cNvPr id="159" name="ID_CCED00FA145D41C6B9D470E189C34A41" descr="Picture"/>
        <xdr:cNvPicPr/>
      </xdr:nvPicPr>
      <xdr:blipFill>
        <a:blip r:embed="rId158" cstate="print"/>
        <a:stretch>
          <a:fillRect/>
        </a:stretch>
      </xdr:blipFill>
      <xdr:spPr>
        <a:xfrm>
          <a:off x="0" y="109835950"/>
          <a:ext cx="619125" cy="676275"/>
        </a:xfrm>
        <a:prstGeom prst="rect">
          <a:avLst/>
        </a:prstGeom>
      </xdr:spPr>
    </xdr:pic>
  </etc:cellImage>
  <etc:cellImage>
    <xdr:pic>
      <xdr:nvPicPr>
        <xdr:cNvPr id="160" name="ID_02BB7D7EBEA94023A3080663A11C39FA" descr="Picture"/>
        <xdr:cNvPicPr/>
      </xdr:nvPicPr>
      <xdr:blipFill>
        <a:blip r:embed="rId159" cstate="print"/>
        <a:stretch>
          <a:fillRect/>
        </a:stretch>
      </xdr:blipFill>
      <xdr:spPr>
        <a:xfrm>
          <a:off x="0" y="110534450"/>
          <a:ext cx="619125" cy="676275"/>
        </a:xfrm>
        <a:prstGeom prst="rect">
          <a:avLst/>
        </a:prstGeom>
      </xdr:spPr>
    </xdr:pic>
  </etc:cellImage>
  <etc:cellImage>
    <xdr:pic>
      <xdr:nvPicPr>
        <xdr:cNvPr id="161" name="ID_44CA36B2DF27474BA1A624665218D4BB" descr="Picture"/>
        <xdr:cNvPicPr/>
      </xdr:nvPicPr>
      <xdr:blipFill>
        <a:blip r:embed="rId160" cstate="print"/>
        <a:stretch>
          <a:fillRect/>
        </a:stretch>
      </xdr:blipFill>
      <xdr:spPr>
        <a:xfrm>
          <a:off x="0" y="111232950"/>
          <a:ext cx="619125" cy="676275"/>
        </a:xfrm>
        <a:prstGeom prst="rect">
          <a:avLst/>
        </a:prstGeom>
      </xdr:spPr>
    </xdr:pic>
  </etc:cellImage>
  <etc:cellImage>
    <xdr:pic>
      <xdr:nvPicPr>
        <xdr:cNvPr id="162" name="ID_304F3632A1C3488285DD18DC998B451F" descr="Picture"/>
        <xdr:cNvPicPr/>
      </xdr:nvPicPr>
      <xdr:blipFill>
        <a:blip r:embed="rId161" cstate="print"/>
        <a:stretch>
          <a:fillRect/>
        </a:stretch>
      </xdr:blipFill>
      <xdr:spPr>
        <a:xfrm>
          <a:off x="0" y="111931450"/>
          <a:ext cx="619125" cy="676275"/>
        </a:xfrm>
        <a:prstGeom prst="rect">
          <a:avLst/>
        </a:prstGeom>
      </xdr:spPr>
    </xdr:pic>
  </etc:cellImage>
  <etc:cellImage>
    <xdr:pic>
      <xdr:nvPicPr>
        <xdr:cNvPr id="163" name="ID_7CF66728BC49402FB4578B024C7543A5" descr="Picture"/>
        <xdr:cNvPicPr/>
      </xdr:nvPicPr>
      <xdr:blipFill>
        <a:blip r:embed="rId162" cstate="print"/>
        <a:stretch>
          <a:fillRect/>
        </a:stretch>
      </xdr:blipFill>
      <xdr:spPr>
        <a:xfrm>
          <a:off x="0" y="112629950"/>
          <a:ext cx="619125" cy="676275"/>
        </a:xfrm>
        <a:prstGeom prst="rect">
          <a:avLst/>
        </a:prstGeom>
      </xdr:spPr>
    </xdr:pic>
  </etc:cellImage>
  <etc:cellImage>
    <xdr:pic>
      <xdr:nvPicPr>
        <xdr:cNvPr id="164" name="ID_8667DD75EAB340B0B43B9BB2F6E5BF14" descr="Picture"/>
        <xdr:cNvPicPr/>
      </xdr:nvPicPr>
      <xdr:blipFill>
        <a:blip r:embed="rId163" cstate="print"/>
        <a:stretch>
          <a:fillRect/>
        </a:stretch>
      </xdr:blipFill>
      <xdr:spPr>
        <a:xfrm>
          <a:off x="0" y="113328450"/>
          <a:ext cx="619125" cy="676275"/>
        </a:xfrm>
        <a:prstGeom prst="rect">
          <a:avLst/>
        </a:prstGeom>
      </xdr:spPr>
    </xdr:pic>
  </etc:cellImage>
  <etc:cellImage>
    <xdr:pic>
      <xdr:nvPicPr>
        <xdr:cNvPr id="165" name="ID_43416652F9614C4C8FBDB13F22351B32" descr="Picture"/>
        <xdr:cNvPicPr/>
      </xdr:nvPicPr>
      <xdr:blipFill>
        <a:blip r:embed="rId164" cstate="print"/>
        <a:stretch>
          <a:fillRect/>
        </a:stretch>
      </xdr:blipFill>
      <xdr:spPr>
        <a:xfrm>
          <a:off x="0" y="114026950"/>
          <a:ext cx="619125" cy="676275"/>
        </a:xfrm>
        <a:prstGeom prst="rect">
          <a:avLst/>
        </a:prstGeom>
      </xdr:spPr>
    </xdr:pic>
  </etc:cellImage>
  <etc:cellImage>
    <xdr:pic>
      <xdr:nvPicPr>
        <xdr:cNvPr id="166" name="ID_7173ECE897C34C2596627066134FE23B" descr="Picture"/>
        <xdr:cNvPicPr/>
      </xdr:nvPicPr>
      <xdr:blipFill>
        <a:blip r:embed="rId165" cstate="print"/>
        <a:stretch>
          <a:fillRect/>
        </a:stretch>
      </xdr:blipFill>
      <xdr:spPr>
        <a:xfrm>
          <a:off x="0" y="114725450"/>
          <a:ext cx="619125" cy="676275"/>
        </a:xfrm>
        <a:prstGeom prst="rect">
          <a:avLst/>
        </a:prstGeom>
      </xdr:spPr>
    </xdr:pic>
  </etc:cellImage>
  <etc:cellImage>
    <xdr:pic>
      <xdr:nvPicPr>
        <xdr:cNvPr id="167" name="ID_FAA288C2EEB74599A79DD95E1ECBA7B0" descr="Picture"/>
        <xdr:cNvPicPr/>
      </xdr:nvPicPr>
      <xdr:blipFill>
        <a:blip r:embed="rId166" cstate="print"/>
        <a:stretch>
          <a:fillRect/>
        </a:stretch>
      </xdr:blipFill>
      <xdr:spPr>
        <a:xfrm>
          <a:off x="0" y="115423950"/>
          <a:ext cx="619125" cy="676275"/>
        </a:xfrm>
        <a:prstGeom prst="rect">
          <a:avLst/>
        </a:prstGeom>
      </xdr:spPr>
    </xdr:pic>
  </etc:cellImage>
  <etc:cellImage>
    <xdr:pic>
      <xdr:nvPicPr>
        <xdr:cNvPr id="168" name="ID_D5C166E4F3CF427E901B5ABDFC539D9F" descr="Picture"/>
        <xdr:cNvPicPr/>
      </xdr:nvPicPr>
      <xdr:blipFill>
        <a:blip r:embed="rId167" cstate="print"/>
        <a:stretch>
          <a:fillRect/>
        </a:stretch>
      </xdr:blipFill>
      <xdr:spPr>
        <a:xfrm>
          <a:off x="0" y="116122450"/>
          <a:ext cx="619125" cy="676275"/>
        </a:xfrm>
        <a:prstGeom prst="rect">
          <a:avLst/>
        </a:prstGeom>
      </xdr:spPr>
    </xdr:pic>
  </etc:cellImage>
  <etc:cellImage>
    <xdr:pic>
      <xdr:nvPicPr>
        <xdr:cNvPr id="169" name="ID_9B41C5B428564F16BAEC5DC61F35749F" descr="Picture"/>
        <xdr:cNvPicPr/>
      </xdr:nvPicPr>
      <xdr:blipFill>
        <a:blip r:embed="rId168" cstate="print"/>
        <a:stretch>
          <a:fillRect/>
        </a:stretch>
      </xdr:blipFill>
      <xdr:spPr>
        <a:xfrm>
          <a:off x="0" y="116820950"/>
          <a:ext cx="619125" cy="676275"/>
        </a:xfrm>
        <a:prstGeom prst="rect">
          <a:avLst/>
        </a:prstGeom>
      </xdr:spPr>
    </xdr:pic>
  </etc:cellImage>
  <etc:cellImage>
    <xdr:pic>
      <xdr:nvPicPr>
        <xdr:cNvPr id="170" name="ID_21B4271FC68D45509038C49C4F1C07C9" descr="Picture"/>
        <xdr:cNvPicPr/>
      </xdr:nvPicPr>
      <xdr:blipFill>
        <a:blip r:embed="rId169" cstate="print"/>
        <a:stretch>
          <a:fillRect/>
        </a:stretch>
      </xdr:blipFill>
      <xdr:spPr>
        <a:xfrm>
          <a:off x="0" y="117519450"/>
          <a:ext cx="619125" cy="676275"/>
        </a:xfrm>
        <a:prstGeom prst="rect">
          <a:avLst/>
        </a:prstGeom>
      </xdr:spPr>
    </xdr:pic>
  </etc:cellImage>
  <etc:cellImage>
    <xdr:pic>
      <xdr:nvPicPr>
        <xdr:cNvPr id="171" name="ID_1D4E1C7C4E124D09B832B4A26300561A" descr="Picture"/>
        <xdr:cNvPicPr/>
      </xdr:nvPicPr>
      <xdr:blipFill>
        <a:blip r:embed="rId170" cstate="print"/>
        <a:stretch>
          <a:fillRect/>
        </a:stretch>
      </xdr:blipFill>
      <xdr:spPr>
        <a:xfrm>
          <a:off x="0" y="118217950"/>
          <a:ext cx="619125" cy="676275"/>
        </a:xfrm>
        <a:prstGeom prst="rect">
          <a:avLst/>
        </a:prstGeom>
      </xdr:spPr>
    </xdr:pic>
  </etc:cellImage>
  <etc:cellImage>
    <xdr:pic>
      <xdr:nvPicPr>
        <xdr:cNvPr id="172" name="ID_1A17E692A2DA49CEA73BEFE32CBAA5A1" descr="Picture"/>
        <xdr:cNvPicPr/>
      </xdr:nvPicPr>
      <xdr:blipFill>
        <a:blip r:embed="rId171" cstate="print"/>
        <a:stretch>
          <a:fillRect/>
        </a:stretch>
      </xdr:blipFill>
      <xdr:spPr>
        <a:xfrm>
          <a:off x="0" y="118916450"/>
          <a:ext cx="619125" cy="676275"/>
        </a:xfrm>
        <a:prstGeom prst="rect">
          <a:avLst/>
        </a:prstGeom>
      </xdr:spPr>
    </xdr:pic>
  </etc:cellImage>
  <etc:cellImage>
    <xdr:pic>
      <xdr:nvPicPr>
        <xdr:cNvPr id="173" name="ID_2D3F3E93CCD3428E84BAC247945D4F7F" descr="Picture"/>
        <xdr:cNvPicPr/>
      </xdr:nvPicPr>
      <xdr:blipFill>
        <a:blip r:embed="rId172" cstate="print"/>
        <a:stretch>
          <a:fillRect/>
        </a:stretch>
      </xdr:blipFill>
      <xdr:spPr>
        <a:xfrm>
          <a:off x="0" y="119614950"/>
          <a:ext cx="619125" cy="676275"/>
        </a:xfrm>
        <a:prstGeom prst="rect">
          <a:avLst/>
        </a:prstGeom>
      </xdr:spPr>
    </xdr:pic>
  </etc:cellImage>
  <etc:cellImage>
    <xdr:pic>
      <xdr:nvPicPr>
        <xdr:cNvPr id="174" name="ID_9BD6DCE19A784692AFBE7661B17553F1" descr="Picture"/>
        <xdr:cNvPicPr/>
      </xdr:nvPicPr>
      <xdr:blipFill>
        <a:blip r:embed="rId173" cstate="print"/>
        <a:stretch>
          <a:fillRect/>
        </a:stretch>
      </xdr:blipFill>
      <xdr:spPr>
        <a:xfrm>
          <a:off x="0" y="120313450"/>
          <a:ext cx="619125" cy="676275"/>
        </a:xfrm>
        <a:prstGeom prst="rect">
          <a:avLst/>
        </a:prstGeom>
      </xdr:spPr>
    </xdr:pic>
  </etc:cellImage>
  <etc:cellImage>
    <xdr:pic>
      <xdr:nvPicPr>
        <xdr:cNvPr id="175" name="ID_40E525523766432DB051AB19D405A2C7" descr="Picture"/>
        <xdr:cNvPicPr/>
      </xdr:nvPicPr>
      <xdr:blipFill>
        <a:blip r:embed="rId174" cstate="print"/>
        <a:stretch>
          <a:fillRect/>
        </a:stretch>
      </xdr:blipFill>
      <xdr:spPr>
        <a:xfrm>
          <a:off x="0" y="121011950"/>
          <a:ext cx="619125" cy="676275"/>
        </a:xfrm>
        <a:prstGeom prst="rect">
          <a:avLst/>
        </a:prstGeom>
      </xdr:spPr>
    </xdr:pic>
  </etc:cellImage>
  <etc:cellImage>
    <xdr:pic>
      <xdr:nvPicPr>
        <xdr:cNvPr id="176" name="ID_1E5F52FB67204B56B3D5C81268410258" descr="Picture"/>
        <xdr:cNvPicPr/>
      </xdr:nvPicPr>
      <xdr:blipFill>
        <a:blip r:embed="rId175" cstate="print"/>
        <a:stretch>
          <a:fillRect/>
        </a:stretch>
      </xdr:blipFill>
      <xdr:spPr>
        <a:xfrm>
          <a:off x="0" y="121710450"/>
          <a:ext cx="619125" cy="676275"/>
        </a:xfrm>
        <a:prstGeom prst="rect">
          <a:avLst/>
        </a:prstGeom>
      </xdr:spPr>
    </xdr:pic>
  </etc:cellImage>
  <etc:cellImage>
    <xdr:pic>
      <xdr:nvPicPr>
        <xdr:cNvPr id="177" name="ID_56627642BDF548D2B261C9A378097E92" descr="Picture"/>
        <xdr:cNvPicPr/>
      </xdr:nvPicPr>
      <xdr:blipFill>
        <a:blip r:embed="rId176" cstate="print"/>
        <a:stretch>
          <a:fillRect/>
        </a:stretch>
      </xdr:blipFill>
      <xdr:spPr>
        <a:xfrm>
          <a:off x="0" y="122408950"/>
          <a:ext cx="619125" cy="676275"/>
        </a:xfrm>
        <a:prstGeom prst="rect">
          <a:avLst/>
        </a:prstGeom>
      </xdr:spPr>
    </xdr:pic>
  </etc:cellImage>
  <etc:cellImage>
    <xdr:pic>
      <xdr:nvPicPr>
        <xdr:cNvPr id="178" name="ID_F13A096CCB14487B971538FE1B2CC7F2" descr="Picture"/>
        <xdr:cNvPicPr/>
      </xdr:nvPicPr>
      <xdr:blipFill>
        <a:blip r:embed="rId177" cstate="print"/>
        <a:stretch>
          <a:fillRect/>
        </a:stretch>
      </xdr:blipFill>
      <xdr:spPr>
        <a:xfrm>
          <a:off x="0" y="123107450"/>
          <a:ext cx="619125" cy="676275"/>
        </a:xfrm>
        <a:prstGeom prst="rect">
          <a:avLst/>
        </a:prstGeom>
      </xdr:spPr>
    </xdr:pic>
  </etc:cellImage>
  <etc:cellImage>
    <xdr:pic>
      <xdr:nvPicPr>
        <xdr:cNvPr id="179" name="ID_3D9A1D3163814495A353C184A2B054FA" descr="Picture"/>
        <xdr:cNvPicPr/>
      </xdr:nvPicPr>
      <xdr:blipFill>
        <a:blip r:embed="rId178" cstate="print"/>
        <a:stretch>
          <a:fillRect/>
        </a:stretch>
      </xdr:blipFill>
      <xdr:spPr>
        <a:xfrm>
          <a:off x="0" y="123805950"/>
          <a:ext cx="619125" cy="676275"/>
        </a:xfrm>
        <a:prstGeom prst="rect">
          <a:avLst/>
        </a:prstGeom>
      </xdr:spPr>
    </xdr:pic>
  </etc:cellImage>
  <etc:cellImage>
    <xdr:pic>
      <xdr:nvPicPr>
        <xdr:cNvPr id="180" name="ID_844BADB63B714B6FA5176230D4963D13" descr="Picture"/>
        <xdr:cNvPicPr/>
      </xdr:nvPicPr>
      <xdr:blipFill>
        <a:blip r:embed="rId179" cstate="print"/>
        <a:stretch>
          <a:fillRect/>
        </a:stretch>
      </xdr:blipFill>
      <xdr:spPr>
        <a:xfrm>
          <a:off x="0" y="124504450"/>
          <a:ext cx="619125" cy="676275"/>
        </a:xfrm>
        <a:prstGeom prst="rect">
          <a:avLst/>
        </a:prstGeom>
      </xdr:spPr>
    </xdr:pic>
  </etc:cellImage>
  <etc:cellImage>
    <xdr:pic>
      <xdr:nvPicPr>
        <xdr:cNvPr id="181" name="ID_210C8CF67CE348DCB3E8649C5DCB4367" descr="Picture"/>
        <xdr:cNvPicPr/>
      </xdr:nvPicPr>
      <xdr:blipFill>
        <a:blip r:embed="rId180" cstate="print"/>
        <a:stretch>
          <a:fillRect/>
        </a:stretch>
      </xdr:blipFill>
      <xdr:spPr>
        <a:xfrm>
          <a:off x="0" y="125202950"/>
          <a:ext cx="619125" cy="676275"/>
        </a:xfrm>
        <a:prstGeom prst="rect">
          <a:avLst/>
        </a:prstGeom>
      </xdr:spPr>
    </xdr:pic>
  </etc:cellImage>
  <etc:cellImage>
    <xdr:pic>
      <xdr:nvPicPr>
        <xdr:cNvPr id="182" name="ID_258871A440E544CD8256270E825D26E8" descr="Picture"/>
        <xdr:cNvPicPr/>
      </xdr:nvPicPr>
      <xdr:blipFill>
        <a:blip r:embed="rId181" cstate="print"/>
        <a:stretch>
          <a:fillRect/>
        </a:stretch>
      </xdr:blipFill>
      <xdr:spPr>
        <a:xfrm>
          <a:off x="0" y="125901450"/>
          <a:ext cx="619125" cy="676275"/>
        </a:xfrm>
        <a:prstGeom prst="rect">
          <a:avLst/>
        </a:prstGeom>
      </xdr:spPr>
    </xdr:pic>
  </etc:cellImage>
  <etc:cellImage>
    <xdr:pic>
      <xdr:nvPicPr>
        <xdr:cNvPr id="183" name="ID_DF64DF7E82754F9BA83F8747CA3D9306" descr="Picture"/>
        <xdr:cNvPicPr/>
      </xdr:nvPicPr>
      <xdr:blipFill>
        <a:blip r:embed="rId182" cstate="print"/>
        <a:stretch>
          <a:fillRect/>
        </a:stretch>
      </xdr:blipFill>
      <xdr:spPr>
        <a:xfrm>
          <a:off x="0" y="126599950"/>
          <a:ext cx="619125" cy="676275"/>
        </a:xfrm>
        <a:prstGeom prst="rect">
          <a:avLst/>
        </a:prstGeom>
      </xdr:spPr>
    </xdr:pic>
  </etc:cellImage>
  <etc:cellImage>
    <xdr:pic>
      <xdr:nvPicPr>
        <xdr:cNvPr id="184" name="ID_F0606217CEB5410FAFE9C4F8D127315C" descr="Picture"/>
        <xdr:cNvPicPr/>
      </xdr:nvPicPr>
      <xdr:blipFill>
        <a:blip r:embed="rId183" cstate="print"/>
        <a:stretch>
          <a:fillRect/>
        </a:stretch>
      </xdr:blipFill>
      <xdr:spPr>
        <a:xfrm>
          <a:off x="0" y="127298450"/>
          <a:ext cx="619125" cy="676275"/>
        </a:xfrm>
        <a:prstGeom prst="rect">
          <a:avLst/>
        </a:prstGeom>
      </xdr:spPr>
    </xdr:pic>
  </etc:cellImage>
  <etc:cellImage>
    <xdr:pic>
      <xdr:nvPicPr>
        <xdr:cNvPr id="185" name="ID_522FFED8AF1044D584CFF8BDF5B83570" descr="Picture"/>
        <xdr:cNvPicPr/>
      </xdr:nvPicPr>
      <xdr:blipFill>
        <a:blip r:embed="rId184" cstate="print"/>
        <a:stretch>
          <a:fillRect/>
        </a:stretch>
      </xdr:blipFill>
      <xdr:spPr>
        <a:xfrm>
          <a:off x="0" y="127996950"/>
          <a:ext cx="619125" cy="676275"/>
        </a:xfrm>
        <a:prstGeom prst="rect">
          <a:avLst/>
        </a:prstGeom>
      </xdr:spPr>
    </xdr:pic>
  </etc:cellImage>
  <etc:cellImage>
    <xdr:pic>
      <xdr:nvPicPr>
        <xdr:cNvPr id="186" name="ID_DA8EFD2EC1CC4DFF9734EF9F955AAB56" descr="Picture"/>
        <xdr:cNvPicPr/>
      </xdr:nvPicPr>
      <xdr:blipFill>
        <a:blip r:embed="rId185" cstate="print"/>
        <a:stretch>
          <a:fillRect/>
        </a:stretch>
      </xdr:blipFill>
      <xdr:spPr>
        <a:xfrm>
          <a:off x="0" y="128695450"/>
          <a:ext cx="619125" cy="676275"/>
        </a:xfrm>
        <a:prstGeom prst="rect">
          <a:avLst/>
        </a:prstGeom>
      </xdr:spPr>
    </xdr:pic>
  </etc:cellImage>
  <etc:cellImage>
    <xdr:pic>
      <xdr:nvPicPr>
        <xdr:cNvPr id="187" name="ID_F4F8EAA19D6244689701E954171EDE81" descr="Picture"/>
        <xdr:cNvPicPr/>
      </xdr:nvPicPr>
      <xdr:blipFill>
        <a:blip r:embed="rId186" cstate="print"/>
        <a:stretch>
          <a:fillRect/>
        </a:stretch>
      </xdr:blipFill>
      <xdr:spPr>
        <a:xfrm>
          <a:off x="0" y="129393950"/>
          <a:ext cx="619125" cy="676275"/>
        </a:xfrm>
        <a:prstGeom prst="rect">
          <a:avLst/>
        </a:prstGeom>
      </xdr:spPr>
    </xdr:pic>
  </etc:cellImage>
  <etc:cellImage>
    <xdr:pic>
      <xdr:nvPicPr>
        <xdr:cNvPr id="188" name="ID_0C51C7B198DD47E0B4A87EBB25FAF0EC" descr="Picture"/>
        <xdr:cNvPicPr/>
      </xdr:nvPicPr>
      <xdr:blipFill>
        <a:blip r:embed="rId187" cstate="print"/>
        <a:stretch>
          <a:fillRect/>
        </a:stretch>
      </xdr:blipFill>
      <xdr:spPr>
        <a:xfrm>
          <a:off x="0" y="130092450"/>
          <a:ext cx="619125" cy="676275"/>
        </a:xfrm>
        <a:prstGeom prst="rect">
          <a:avLst/>
        </a:prstGeom>
      </xdr:spPr>
    </xdr:pic>
  </etc:cellImage>
  <etc:cellImage>
    <xdr:pic>
      <xdr:nvPicPr>
        <xdr:cNvPr id="189" name="ID_2BBC9395632D450C9CF3AAB9039F84CE" descr="Picture"/>
        <xdr:cNvPicPr/>
      </xdr:nvPicPr>
      <xdr:blipFill>
        <a:blip r:embed="rId188" cstate="print"/>
        <a:stretch>
          <a:fillRect/>
        </a:stretch>
      </xdr:blipFill>
      <xdr:spPr>
        <a:xfrm>
          <a:off x="0" y="130790950"/>
          <a:ext cx="619125" cy="676275"/>
        </a:xfrm>
        <a:prstGeom prst="rect">
          <a:avLst/>
        </a:prstGeom>
      </xdr:spPr>
    </xdr:pic>
  </etc:cellImage>
  <etc:cellImage>
    <xdr:pic>
      <xdr:nvPicPr>
        <xdr:cNvPr id="190" name="ID_21B7C38A33BF4BCA89352248DE7B1E6C" descr="Picture"/>
        <xdr:cNvPicPr/>
      </xdr:nvPicPr>
      <xdr:blipFill>
        <a:blip r:embed="rId189" cstate="print"/>
        <a:stretch>
          <a:fillRect/>
        </a:stretch>
      </xdr:blipFill>
      <xdr:spPr>
        <a:xfrm>
          <a:off x="0" y="131489450"/>
          <a:ext cx="619125" cy="676275"/>
        </a:xfrm>
        <a:prstGeom prst="rect">
          <a:avLst/>
        </a:prstGeom>
      </xdr:spPr>
    </xdr:pic>
  </etc:cellImage>
  <etc:cellImage>
    <xdr:pic>
      <xdr:nvPicPr>
        <xdr:cNvPr id="191" name="ID_5F20999364534AC68EE39BA4F0865E9C" descr="Picture"/>
        <xdr:cNvPicPr/>
      </xdr:nvPicPr>
      <xdr:blipFill>
        <a:blip r:embed="rId190" cstate="print"/>
        <a:stretch>
          <a:fillRect/>
        </a:stretch>
      </xdr:blipFill>
      <xdr:spPr>
        <a:xfrm>
          <a:off x="0" y="132187950"/>
          <a:ext cx="619125" cy="676275"/>
        </a:xfrm>
        <a:prstGeom prst="rect">
          <a:avLst/>
        </a:prstGeom>
      </xdr:spPr>
    </xdr:pic>
  </etc:cellImage>
  <etc:cellImage>
    <xdr:pic>
      <xdr:nvPicPr>
        <xdr:cNvPr id="192" name="ID_436B61BE0172426586860DF5BA278A56" descr="Picture"/>
        <xdr:cNvPicPr/>
      </xdr:nvPicPr>
      <xdr:blipFill>
        <a:blip r:embed="rId191" cstate="print"/>
        <a:stretch>
          <a:fillRect/>
        </a:stretch>
      </xdr:blipFill>
      <xdr:spPr>
        <a:xfrm>
          <a:off x="0" y="132886450"/>
          <a:ext cx="619125" cy="676275"/>
        </a:xfrm>
        <a:prstGeom prst="rect">
          <a:avLst/>
        </a:prstGeom>
      </xdr:spPr>
    </xdr:pic>
  </etc:cellImage>
  <etc:cellImage>
    <xdr:pic>
      <xdr:nvPicPr>
        <xdr:cNvPr id="193" name="ID_23F3CA75BEE742EB98E1C2E800CAAD6D" descr="Picture"/>
        <xdr:cNvPicPr/>
      </xdr:nvPicPr>
      <xdr:blipFill>
        <a:blip r:embed="rId192" cstate="print"/>
        <a:stretch>
          <a:fillRect/>
        </a:stretch>
      </xdr:blipFill>
      <xdr:spPr>
        <a:xfrm>
          <a:off x="0" y="133584950"/>
          <a:ext cx="619125" cy="676275"/>
        </a:xfrm>
        <a:prstGeom prst="rect">
          <a:avLst/>
        </a:prstGeom>
      </xdr:spPr>
    </xdr:pic>
  </etc:cellImage>
  <etc:cellImage>
    <xdr:pic>
      <xdr:nvPicPr>
        <xdr:cNvPr id="194" name="ID_45EE3D69C50743FC99CB265C879F1991" descr="Picture"/>
        <xdr:cNvPicPr/>
      </xdr:nvPicPr>
      <xdr:blipFill>
        <a:blip r:embed="rId193" cstate="print"/>
        <a:stretch>
          <a:fillRect/>
        </a:stretch>
      </xdr:blipFill>
      <xdr:spPr>
        <a:xfrm>
          <a:off x="0" y="134283450"/>
          <a:ext cx="619125" cy="676275"/>
        </a:xfrm>
        <a:prstGeom prst="rect">
          <a:avLst/>
        </a:prstGeom>
      </xdr:spPr>
    </xdr:pic>
  </etc:cellImage>
  <etc:cellImage>
    <xdr:pic>
      <xdr:nvPicPr>
        <xdr:cNvPr id="195" name="ID_FBC4606B3B0D4DA6A65615F95240BE2E" descr="Picture"/>
        <xdr:cNvPicPr/>
      </xdr:nvPicPr>
      <xdr:blipFill>
        <a:blip r:embed="rId194" cstate="print"/>
        <a:stretch>
          <a:fillRect/>
        </a:stretch>
      </xdr:blipFill>
      <xdr:spPr>
        <a:xfrm>
          <a:off x="0" y="134981950"/>
          <a:ext cx="619125" cy="676275"/>
        </a:xfrm>
        <a:prstGeom prst="rect">
          <a:avLst/>
        </a:prstGeom>
      </xdr:spPr>
    </xdr:pic>
  </etc:cellImage>
  <etc:cellImage>
    <xdr:pic>
      <xdr:nvPicPr>
        <xdr:cNvPr id="196" name="ID_6B704C4E7B514071904F8882A3D1D678" descr="Picture"/>
        <xdr:cNvPicPr/>
      </xdr:nvPicPr>
      <xdr:blipFill>
        <a:blip r:embed="rId195" cstate="print"/>
        <a:stretch>
          <a:fillRect/>
        </a:stretch>
      </xdr:blipFill>
      <xdr:spPr>
        <a:xfrm>
          <a:off x="0" y="135680450"/>
          <a:ext cx="619125" cy="676275"/>
        </a:xfrm>
        <a:prstGeom prst="rect">
          <a:avLst/>
        </a:prstGeom>
      </xdr:spPr>
    </xdr:pic>
  </etc:cellImage>
  <etc:cellImage>
    <xdr:pic>
      <xdr:nvPicPr>
        <xdr:cNvPr id="197" name="ID_CD03B757884C421F9E57D56EE15E18E2" descr="Picture"/>
        <xdr:cNvPicPr/>
      </xdr:nvPicPr>
      <xdr:blipFill>
        <a:blip r:embed="rId196" cstate="print"/>
        <a:stretch>
          <a:fillRect/>
        </a:stretch>
      </xdr:blipFill>
      <xdr:spPr>
        <a:xfrm>
          <a:off x="0" y="136378950"/>
          <a:ext cx="619125" cy="676275"/>
        </a:xfrm>
        <a:prstGeom prst="rect">
          <a:avLst/>
        </a:prstGeom>
      </xdr:spPr>
    </xdr:pic>
  </etc:cellImage>
  <etc:cellImage>
    <xdr:pic>
      <xdr:nvPicPr>
        <xdr:cNvPr id="198" name="ID_DABC7FECEDB743D9BFE2A1B71051393E" descr="Picture"/>
        <xdr:cNvPicPr/>
      </xdr:nvPicPr>
      <xdr:blipFill>
        <a:blip r:embed="rId197" cstate="print"/>
        <a:stretch>
          <a:fillRect/>
        </a:stretch>
      </xdr:blipFill>
      <xdr:spPr>
        <a:xfrm>
          <a:off x="0" y="137077450"/>
          <a:ext cx="619125" cy="676275"/>
        </a:xfrm>
        <a:prstGeom prst="rect">
          <a:avLst/>
        </a:prstGeom>
      </xdr:spPr>
    </xdr:pic>
  </etc:cellImage>
  <etc:cellImage>
    <xdr:pic>
      <xdr:nvPicPr>
        <xdr:cNvPr id="199" name="ID_5766320777B9442484AA992A4CDF19B6" descr="Picture"/>
        <xdr:cNvPicPr/>
      </xdr:nvPicPr>
      <xdr:blipFill>
        <a:blip r:embed="rId198" cstate="print"/>
        <a:stretch>
          <a:fillRect/>
        </a:stretch>
      </xdr:blipFill>
      <xdr:spPr>
        <a:xfrm>
          <a:off x="0" y="137775950"/>
          <a:ext cx="619125" cy="676275"/>
        </a:xfrm>
        <a:prstGeom prst="rect">
          <a:avLst/>
        </a:prstGeom>
      </xdr:spPr>
    </xdr:pic>
  </etc:cellImage>
  <etc:cellImage>
    <xdr:pic>
      <xdr:nvPicPr>
        <xdr:cNvPr id="200" name="ID_18C1997E74254693B0EFADE230A212FD" descr="Picture"/>
        <xdr:cNvPicPr/>
      </xdr:nvPicPr>
      <xdr:blipFill>
        <a:blip r:embed="rId199" cstate="print"/>
        <a:stretch>
          <a:fillRect/>
        </a:stretch>
      </xdr:blipFill>
      <xdr:spPr>
        <a:xfrm>
          <a:off x="0" y="138474450"/>
          <a:ext cx="619125" cy="676275"/>
        </a:xfrm>
        <a:prstGeom prst="rect">
          <a:avLst/>
        </a:prstGeom>
      </xdr:spPr>
    </xdr:pic>
  </etc:cellImage>
  <etc:cellImage>
    <xdr:pic>
      <xdr:nvPicPr>
        <xdr:cNvPr id="201" name="ID_FAB9882BB9D34DBDA636C435B42F203F" descr="Picture"/>
        <xdr:cNvPicPr/>
      </xdr:nvPicPr>
      <xdr:blipFill>
        <a:blip r:embed="rId200" cstate="print"/>
        <a:stretch>
          <a:fillRect/>
        </a:stretch>
      </xdr:blipFill>
      <xdr:spPr>
        <a:xfrm>
          <a:off x="0" y="139172950"/>
          <a:ext cx="619125" cy="676275"/>
        </a:xfrm>
        <a:prstGeom prst="rect">
          <a:avLst/>
        </a:prstGeom>
      </xdr:spPr>
    </xdr:pic>
  </etc:cellImage>
  <etc:cellImage>
    <xdr:pic>
      <xdr:nvPicPr>
        <xdr:cNvPr id="202" name="ID_4B4A1770C4DF4E9EB044850250971A8C" descr="Picture"/>
        <xdr:cNvPicPr/>
      </xdr:nvPicPr>
      <xdr:blipFill>
        <a:blip r:embed="rId201" cstate="print"/>
        <a:stretch>
          <a:fillRect/>
        </a:stretch>
      </xdr:blipFill>
      <xdr:spPr>
        <a:xfrm>
          <a:off x="0" y="139871450"/>
          <a:ext cx="619125" cy="676275"/>
        </a:xfrm>
        <a:prstGeom prst="rect">
          <a:avLst/>
        </a:prstGeom>
      </xdr:spPr>
    </xdr:pic>
  </etc:cellImage>
  <etc:cellImage>
    <xdr:pic>
      <xdr:nvPicPr>
        <xdr:cNvPr id="203" name="ID_B479601268784D58892CB9878A418C82" descr="Picture"/>
        <xdr:cNvPicPr/>
      </xdr:nvPicPr>
      <xdr:blipFill>
        <a:blip r:embed="rId202" cstate="print"/>
        <a:stretch>
          <a:fillRect/>
        </a:stretch>
      </xdr:blipFill>
      <xdr:spPr>
        <a:xfrm>
          <a:off x="0" y="140569950"/>
          <a:ext cx="619125" cy="676275"/>
        </a:xfrm>
        <a:prstGeom prst="rect">
          <a:avLst/>
        </a:prstGeom>
      </xdr:spPr>
    </xdr:pic>
  </etc:cellImage>
  <etc:cellImage>
    <xdr:pic>
      <xdr:nvPicPr>
        <xdr:cNvPr id="204" name="ID_9D136FD760924F8694A100405AD258AF" descr="Picture"/>
        <xdr:cNvPicPr/>
      </xdr:nvPicPr>
      <xdr:blipFill>
        <a:blip r:embed="rId203" cstate="print"/>
        <a:stretch>
          <a:fillRect/>
        </a:stretch>
      </xdr:blipFill>
      <xdr:spPr>
        <a:xfrm>
          <a:off x="0" y="141268450"/>
          <a:ext cx="619125" cy="676275"/>
        </a:xfrm>
        <a:prstGeom prst="rect">
          <a:avLst/>
        </a:prstGeom>
      </xdr:spPr>
    </xdr:pic>
  </etc:cellImage>
  <etc:cellImage>
    <xdr:pic>
      <xdr:nvPicPr>
        <xdr:cNvPr id="205" name="ID_9BF619E14D264C52A1712FAC40FFE538" descr="Picture"/>
        <xdr:cNvPicPr/>
      </xdr:nvPicPr>
      <xdr:blipFill>
        <a:blip r:embed="rId204" cstate="print"/>
        <a:stretch>
          <a:fillRect/>
        </a:stretch>
      </xdr:blipFill>
      <xdr:spPr>
        <a:xfrm>
          <a:off x="0" y="141966950"/>
          <a:ext cx="619125" cy="676275"/>
        </a:xfrm>
        <a:prstGeom prst="rect">
          <a:avLst/>
        </a:prstGeom>
      </xdr:spPr>
    </xdr:pic>
  </etc:cellImage>
  <etc:cellImage>
    <xdr:pic>
      <xdr:nvPicPr>
        <xdr:cNvPr id="206" name="ID_81B94753C12F419F8FD0C954AD071202" descr="Picture"/>
        <xdr:cNvPicPr/>
      </xdr:nvPicPr>
      <xdr:blipFill>
        <a:blip r:embed="rId205" cstate="print"/>
        <a:stretch>
          <a:fillRect/>
        </a:stretch>
      </xdr:blipFill>
      <xdr:spPr>
        <a:xfrm>
          <a:off x="0" y="142665450"/>
          <a:ext cx="619125" cy="676275"/>
        </a:xfrm>
        <a:prstGeom prst="rect">
          <a:avLst/>
        </a:prstGeom>
      </xdr:spPr>
    </xdr:pic>
  </etc:cellImage>
  <etc:cellImage>
    <xdr:pic>
      <xdr:nvPicPr>
        <xdr:cNvPr id="207" name="ID_D33EF6ECDCA2404399778A5B0191ECCE" descr="Picture"/>
        <xdr:cNvPicPr/>
      </xdr:nvPicPr>
      <xdr:blipFill>
        <a:blip r:embed="rId206" cstate="print"/>
        <a:stretch>
          <a:fillRect/>
        </a:stretch>
      </xdr:blipFill>
      <xdr:spPr>
        <a:xfrm>
          <a:off x="0" y="143363950"/>
          <a:ext cx="619125" cy="676275"/>
        </a:xfrm>
        <a:prstGeom prst="rect">
          <a:avLst/>
        </a:prstGeom>
      </xdr:spPr>
    </xdr:pic>
  </etc:cellImage>
  <etc:cellImage>
    <xdr:pic>
      <xdr:nvPicPr>
        <xdr:cNvPr id="208" name="ID_BFDDA44ECFB74936B6A7298C245E726B" descr="Picture"/>
        <xdr:cNvPicPr/>
      </xdr:nvPicPr>
      <xdr:blipFill>
        <a:blip r:embed="rId207" cstate="print"/>
        <a:stretch>
          <a:fillRect/>
        </a:stretch>
      </xdr:blipFill>
      <xdr:spPr>
        <a:xfrm>
          <a:off x="0" y="144062450"/>
          <a:ext cx="619125" cy="676275"/>
        </a:xfrm>
        <a:prstGeom prst="rect">
          <a:avLst/>
        </a:prstGeom>
      </xdr:spPr>
    </xdr:pic>
  </etc:cellImage>
  <etc:cellImage>
    <xdr:pic>
      <xdr:nvPicPr>
        <xdr:cNvPr id="209" name="ID_6F88FB6074B948D3A384414E43956083" descr="Picture"/>
        <xdr:cNvPicPr/>
      </xdr:nvPicPr>
      <xdr:blipFill>
        <a:blip r:embed="rId208" cstate="print"/>
        <a:stretch>
          <a:fillRect/>
        </a:stretch>
      </xdr:blipFill>
      <xdr:spPr>
        <a:xfrm>
          <a:off x="0" y="144760950"/>
          <a:ext cx="619125" cy="676275"/>
        </a:xfrm>
        <a:prstGeom prst="rect">
          <a:avLst/>
        </a:prstGeom>
      </xdr:spPr>
    </xdr:pic>
  </etc:cellImage>
  <etc:cellImage>
    <xdr:pic>
      <xdr:nvPicPr>
        <xdr:cNvPr id="210" name="ID_975C3DFD07EB4C3FAA761E3E341D816F" descr="Picture"/>
        <xdr:cNvPicPr/>
      </xdr:nvPicPr>
      <xdr:blipFill>
        <a:blip r:embed="rId209" cstate="print"/>
        <a:stretch>
          <a:fillRect/>
        </a:stretch>
      </xdr:blipFill>
      <xdr:spPr>
        <a:xfrm>
          <a:off x="0" y="145459450"/>
          <a:ext cx="619125" cy="676275"/>
        </a:xfrm>
        <a:prstGeom prst="rect">
          <a:avLst/>
        </a:prstGeom>
      </xdr:spPr>
    </xdr:pic>
  </etc:cellImage>
  <etc:cellImage>
    <xdr:pic>
      <xdr:nvPicPr>
        <xdr:cNvPr id="211" name="ID_DF430FBA6C3548AD97D43A1FF4FD9C63" descr="Picture"/>
        <xdr:cNvPicPr/>
      </xdr:nvPicPr>
      <xdr:blipFill>
        <a:blip r:embed="rId210" cstate="print"/>
        <a:stretch>
          <a:fillRect/>
        </a:stretch>
      </xdr:blipFill>
      <xdr:spPr>
        <a:xfrm>
          <a:off x="0" y="146157950"/>
          <a:ext cx="619125" cy="676275"/>
        </a:xfrm>
        <a:prstGeom prst="rect">
          <a:avLst/>
        </a:prstGeom>
      </xdr:spPr>
    </xdr:pic>
  </etc:cellImage>
  <etc:cellImage>
    <xdr:pic>
      <xdr:nvPicPr>
        <xdr:cNvPr id="212" name="ID_452C4BC10D9449A194A4003AEA0C3F4C" descr="Picture"/>
        <xdr:cNvPicPr/>
      </xdr:nvPicPr>
      <xdr:blipFill>
        <a:blip r:embed="rId211" cstate="print"/>
        <a:stretch>
          <a:fillRect/>
        </a:stretch>
      </xdr:blipFill>
      <xdr:spPr>
        <a:xfrm>
          <a:off x="0" y="146856450"/>
          <a:ext cx="619125" cy="676275"/>
        </a:xfrm>
        <a:prstGeom prst="rect">
          <a:avLst/>
        </a:prstGeom>
      </xdr:spPr>
    </xdr:pic>
  </etc:cellImage>
  <etc:cellImage>
    <xdr:pic>
      <xdr:nvPicPr>
        <xdr:cNvPr id="213" name="ID_AD502DFF4C2C4911841BC549826217E9" descr="Picture"/>
        <xdr:cNvPicPr/>
      </xdr:nvPicPr>
      <xdr:blipFill>
        <a:blip r:embed="rId212" cstate="print"/>
        <a:stretch>
          <a:fillRect/>
        </a:stretch>
      </xdr:blipFill>
      <xdr:spPr>
        <a:xfrm>
          <a:off x="0" y="147554950"/>
          <a:ext cx="619125" cy="676275"/>
        </a:xfrm>
        <a:prstGeom prst="rect">
          <a:avLst/>
        </a:prstGeom>
      </xdr:spPr>
    </xdr:pic>
  </etc:cellImage>
  <etc:cellImage>
    <xdr:pic>
      <xdr:nvPicPr>
        <xdr:cNvPr id="214" name="ID_0BFD3FBE36A74BCAA5A4CD842F88E054" descr="Picture"/>
        <xdr:cNvPicPr/>
      </xdr:nvPicPr>
      <xdr:blipFill>
        <a:blip r:embed="rId213" cstate="print"/>
        <a:stretch>
          <a:fillRect/>
        </a:stretch>
      </xdr:blipFill>
      <xdr:spPr>
        <a:xfrm>
          <a:off x="0" y="148253450"/>
          <a:ext cx="619125" cy="676275"/>
        </a:xfrm>
        <a:prstGeom prst="rect">
          <a:avLst/>
        </a:prstGeom>
      </xdr:spPr>
    </xdr:pic>
  </etc:cellImage>
  <etc:cellImage>
    <xdr:pic>
      <xdr:nvPicPr>
        <xdr:cNvPr id="215" name="ID_26F69B8C75354630A9FBBF9C3261AD1F" descr="Picture"/>
        <xdr:cNvPicPr/>
      </xdr:nvPicPr>
      <xdr:blipFill>
        <a:blip r:embed="rId214" cstate="print"/>
        <a:stretch>
          <a:fillRect/>
        </a:stretch>
      </xdr:blipFill>
      <xdr:spPr>
        <a:xfrm>
          <a:off x="0" y="148951950"/>
          <a:ext cx="619125" cy="676275"/>
        </a:xfrm>
        <a:prstGeom prst="rect">
          <a:avLst/>
        </a:prstGeom>
      </xdr:spPr>
    </xdr:pic>
  </etc:cellImage>
  <etc:cellImage>
    <xdr:pic>
      <xdr:nvPicPr>
        <xdr:cNvPr id="216" name="ID_764FC9D47BD04A7D9A314F77912720C5" descr="Picture"/>
        <xdr:cNvPicPr/>
      </xdr:nvPicPr>
      <xdr:blipFill>
        <a:blip r:embed="rId215" cstate="print"/>
        <a:stretch>
          <a:fillRect/>
        </a:stretch>
      </xdr:blipFill>
      <xdr:spPr>
        <a:xfrm>
          <a:off x="0" y="149650450"/>
          <a:ext cx="619125" cy="676275"/>
        </a:xfrm>
        <a:prstGeom prst="rect">
          <a:avLst/>
        </a:prstGeom>
      </xdr:spPr>
    </xdr:pic>
  </etc:cellImage>
  <etc:cellImage>
    <xdr:pic>
      <xdr:nvPicPr>
        <xdr:cNvPr id="217" name="ID_AE6D4CD1F1424EEF844F75B3E1AFCD5E" descr="Picture"/>
        <xdr:cNvPicPr/>
      </xdr:nvPicPr>
      <xdr:blipFill>
        <a:blip r:embed="rId216" cstate="print"/>
        <a:stretch>
          <a:fillRect/>
        </a:stretch>
      </xdr:blipFill>
      <xdr:spPr>
        <a:xfrm>
          <a:off x="0" y="150348950"/>
          <a:ext cx="619125" cy="676275"/>
        </a:xfrm>
        <a:prstGeom prst="rect">
          <a:avLst/>
        </a:prstGeom>
      </xdr:spPr>
    </xdr:pic>
  </etc:cellImage>
  <etc:cellImage>
    <xdr:pic>
      <xdr:nvPicPr>
        <xdr:cNvPr id="218" name="ID_71F56436FCC64F1492115901269D450B" descr="Picture"/>
        <xdr:cNvPicPr/>
      </xdr:nvPicPr>
      <xdr:blipFill>
        <a:blip r:embed="rId217" cstate="print"/>
        <a:stretch>
          <a:fillRect/>
        </a:stretch>
      </xdr:blipFill>
      <xdr:spPr>
        <a:xfrm>
          <a:off x="0" y="151047450"/>
          <a:ext cx="619125" cy="676275"/>
        </a:xfrm>
        <a:prstGeom prst="rect">
          <a:avLst/>
        </a:prstGeom>
      </xdr:spPr>
    </xdr:pic>
  </etc:cellImage>
  <etc:cellImage>
    <xdr:pic>
      <xdr:nvPicPr>
        <xdr:cNvPr id="219" name="ID_4EF6AFB012E148A58B6D09E9098DF0D7" descr="Picture"/>
        <xdr:cNvPicPr/>
      </xdr:nvPicPr>
      <xdr:blipFill>
        <a:blip r:embed="rId218" cstate="print"/>
        <a:stretch>
          <a:fillRect/>
        </a:stretch>
      </xdr:blipFill>
      <xdr:spPr>
        <a:xfrm>
          <a:off x="0" y="151745950"/>
          <a:ext cx="619125" cy="676275"/>
        </a:xfrm>
        <a:prstGeom prst="rect">
          <a:avLst/>
        </a:prstGeom>
      </xdr:spPr>
    </xdr:pic>
  </etc:cellImage>
  <etc:cellImage>
    <xdr:pic>
      <xdr:nvPicPr>
        <xdr:cNvPr id="220" name="ID_F12A78ED528B4C6DBB6A33D5BE8C23DB" descr="Picture"/>
        <xdr:cNvPicPr/>
      </xdr:nvPicPr>
      <xdr:blipFill>
        <a:blip r:embed="rId219" cstate="print"/>
        <a:stretch>
          <a:fillRect/>
        </a:stretch>
      </xdr:blipFill>
      <xdr:spPr>
        <a:xfrm>
          <a:off x="0" y="152444450"/>
          <a:ext cx="619125" cy="676275"/>
        </a:xfrm>
        <a:prstGeom prst="rect">
          <a:avLst/>
        </a:prstGeom>
      </xdr:spPr>
    </xdr:pic>
  </etc:cellImage>
  <etc:cellImage>
    <xdr:pic>
      <xdr:nvPicPr>
        <xdr:cNvPr id="221" name="ID_762E41B6CCE24D1B9BB5B939337304BB" descr="Picture"/>
        <xdr:cNvPicPr/>
      </xdr:nvPicPr>
      <xdr:blipFill>
        <a:blip r:embed="rId220" cstate="print"/>
        <a:stretch>
          <a:fillRect/>
        </a:stretch>
      </xdr:blipFill>
      <xdr:spPr>
        <a:xfrm>
          <a:off x="0" y="153142950"/>
          <a:ext cx="619125" cy="676275"/>
        </a:xfrm>
        <a:prstGeom prst="rect">
          <a:avLst/>
        </a:prstGeom>
      </xdr:spPr>
    </xdr:pic>
  </etc:cellImage>
  <etc:cellImage>
    <xdr:pic>
      <xdr:nvPicPr>
        <xdr:cNvPr id="222" name="ID_98F4DFD1F66C4CD88F77696BDCF23583" descr="Picture"/>
        <xdr:cNvPicPr/>
      </xdr:nvPicPr>
      <xdr:blipFill>
        <a:blip r:embed="rId221" cstate="print"/>
        <a:stretch>
          <a:fillRect/>
        </a:stretch>
      </xdr:blipFill>
      <xdr:spPr>
        <a:xfrm>
          <a:off x="0" y="153841450"/>
          <a:ext cx="619125" cy="676275"/>
        </a:xfrm>
        <a:prstGeom prst="rect">
          <a:avLst/>
        </a:prstGeom>
      </xdr:spPr>
    </xdr:pic>
  </etc:cellImage>
  <etc:cellImage>
    <xdr:pic>
      <xdr:nvPicPr>
        <xdr:cNvPr id="223" name="ID_A34572345AE54918B3A03DF3A0426EB6" descr="Picture"/>
        <xdr:cNvPicPr/>
      </xdr:nvPicPr>
      <xdr:blipFill>
        <a:blip r:embed="rId222" cstate="print"/>
        <a:stretch>
          <a:fillRect/>
        </a:stretch>
      </xdr:blipFill>
      <xdr:spPr>
        <a:xfrm>
          <a:off x="0" y="154539950"/>
          <a:ext cx="619125" cy="676275"/>
        </a:xfrm>
        <a:prstGeom prst="rect">
          <a:avLst/>
        </a:prstGeom>
      </xdr:spPr>
    </xdr:pic>
  </etc:cellImage>
  <etc:cellImage>
    <xdr:pic>
      <xdr:nvPicPr>
        <xdr:cNvPr id="224" name="ID_4179324ECC564534AD0D15B103A77000" descr="Picture"/>
        <xdr:cNvPicPr/>
      </xdr:nvPicPr>
      <xdr:blipFill>
        <a:blip r:embed="rId223" cstate="print"/>
        <a:stretch>
          <a:fillRect/>
        </a:stretch>
      </xdr:blipFill>
      <xdr:spPr>
        <a:xfrm>
          <a:off x="0" y="155238450"/>
          <a:ext cx="619125" cy="676275"/>
        </a:xfrm>
        <a:prstGeom prst="rect">
          <a:avLst/>
        </a:prstGeom>
      </xdr:spPr>
    </xdr:pic>
  </etc:cellImage>
  <etc:cellImage>
    <xdr:pic>
      <xdr:nvPicPr>
        <xdr:cNvPr id="225" name="ID_88D38721FBF14D1CB0A5D827216DB87B" descr="Picture"/>
        <xdr:cNvPicPr/>
      </xdr:nvPicPr>
      <xdr:blipFill>
        <a:blip r:embed="rId224" cstate="print"/>
        <a:stretch>
          <a:fillRect/>
        </a:stretch>
      </xdr:blipFill>
      <xdr:spPr>
        <a:xfrm>
          <a:off x="0" y="155936950"/>
          <a:ext cx="619125" cy="676275"/>
        </a:xfrm>
        <a:prstGeom prst="rect">
          <a:avLst/>
        </a:prstGeom>
      </xdr:spPr>
    </xdr:pic>
  </etc:cellImage>
  <etc:cellImage>
    <xdr:pic>
      <xdr:nvPicPr>
        <xdr:cNvPr id="226" name="ID_CE8F79DA84814CABAC335669180C6449" descr="Picture"/>
        <xdr:cNvPicPr/>
      </xdr:nvPicPr>
      <xdr:blipFill>
        <a:blip r:embed="rId225" cstate="print"/>
        <a:stretch>
          <a:fillRect/>
        </a:stretch>
      </xdr:blipFill>
      <xdr:spPr>
        <a:xfrm>
          <a:off x="0" y="156635450"/>
          <a:ext cx="619125" cy="676275"/>
        </a:xfrm>
        <a:prstGeom prst="rect">
          <a:avLst/>
        </a:prstGeom>
      </xdr:spPr>
    </xdr:pic>
  </etc:cellImage>
  <etc:cellImage>
    <xdr:pic>
      <xdr:nvPicPr>
        <xdr:cNvPr id="227" name="ID_0FEC6775E48546E1AB51DAC7D16E4F14" descr="Picture"/>
        <xdr:cNvPicPr/>
      </xdr:nvPicPr>
      <xdr:blipFill>
        <a:blip r:embed="rId226" cstate="print"/>
        <a:stretch>
          <a:fillRect/>
        </a:stretch>
      </xdr:blipFill>
      <xdr:spPr>
        <a:xfrm>
          <a:off x="0" y="157333950"/>
          <a:ext cx="619125" cy="676275"/>
        </a:xfrm>
        <a:prstGeom prst="rect">
          <a:avLst/>
        </a:prstGeom>
      </xdr:spPr>
    </xdr:pic>
  </etc:cellImage>
  <etc:cellImage>
    <xdr:pic>
      <xdr:nvPicPr>
        <xdr:cNvPr id="228" name="ID_EC79FFC127A7468294CA904E3F699D1E" descr="Picture"/>
        <xdr:cNvPicPr/>
      </xdr:nvPicPr>
      <xdr:blipFill>
        <a:blip r:embed="rId227" cstate="print"/>
        <a:stretch>
          <a:fillRect/>
        </a:stretch>
      </xdr:blipFill>
      <xdr:spPr>
        <a:xfrm>
          <a:off x="0" y="158032450"/>
          <a:ext cx="619125" cy="676275"/>
        </a:xfrm>
        <a:prstGeom prst="rect">
          <a:avLst/>
        </a:prstGeom>
      </xdr:spPr>
    </xdr:pic>
  </etc:cellImage>
  <etc:cellImage>
    <xdr:pic>
      <xdr:nvPicPr>
        <xdr:cNvPr id="229" name="ID_1A3A89B7BC064365BE337F82423FD286" descr="Picture"/>
        <xdr:cNvPicPr/>
      </xdr:nvPicPr>
      <xdr:blipFill>
        <a:blip r:embed="rId228" cstate="print"/>
        <a:stretch>
          <a:fillRect/>
        </a:stretch>
      </xdr:blipFill>
      <xdr:spPr>
        <a:xfrm>
          <a:off x="0" y="158730950"/>
          <a:ext cx="619125" cy="676275"/>
        </a:xfrm>
        <a:prstGeom prst="rect">
          <a:avLst/>
        </a:prstGeom>
      </xdr:spPr>
    </xdr:pic>
  </etc:cellImage>
  <etc:cellImage>
    <xdr:pic>
      <xdr:nvPicPr>
        <xdr:cNvPr id="230" name="ID_15EB5F94B2A3472E8270B92698408C48" descr="Picture"/>
        <xdr:cNvPicPr/>
      </xdr:nvPicPr>
      <xdr:blipFill>
        <a:blip r:embed="rId229" cstate="print"/>
        <a:stretch>
          <a:fillRect/>
        </a:stretch>
      </xdr:blipFill>
      <xdr:spPr>
        <a:xfrm>
          <a:off x="0" y="159429450"/>
          <a:ext cx="619125" cy="676275"/>
        </a:xfrm>
        <a:prstGeom prst="rect">
          <a:avLst/>
        </a:prstGeom>
      </xdr:spPr>
    </xdr:pic>
  </etc:cellImage>
  <etc:cellImage>
    <xdr:pic>
      <xdr:nvPicPr>
        <xdr:cNvPr id="231" name="ID_74441BF9A75A4F1E80F73C2BED0249C8" descr="Picture"/>
        <xdr:cNvPicPr/>
      </xdr:nvPicPr>
      <xdr:blipFill>
        <a:blip r:embed="rId230" cstate="print"/>
        <a:stretch>
          <a:fillRect/>
        </a:stretch>
      </xdr:blipFill>
      <xdr:spPr>
        <a:xfrm>
          <a:off x="0" y="160127950"/>
          <a:ext cx="619125" cy="676275"/>
        </a:xfrm>
        <a:prstGeom prst="rect">
          <a:avLst/>
        </a:prstGeom>
      </xdr:spPr>
    </xdr:pic>
  </etc:cellImage>
  <etc:cellImage>
    <xdr:pic>
      <xdr:nvPicPr>
        <xdr:cNvPr id="232" name="ID_EAB8977ACDDF4DBEB3F153F3F285C6E6" descr="Picture"/>
        <xdr:cNvPicPr/>
      </xdr:nvPicPr>
      <xdr:blipFill>
        <a:blip r:embed="rId231" cstate="print"/>
        <a:stretch>
          <a:fillRect/>
        </a:stretch>
      </xdr:blipFill>
      <xdr:spPr>
        <a:xfrm>
          <a:off x="0" y="160826450"/>
          <a:ext cx="619125" cy="676275"/>
        </a:xfrm>
        <a:prstGeom prst="rect">
          <a:avLst/>
        </a:prstGeom>
      </xdr:spPr>
    </xdr:pic>
  </etc:cellImage>
  <etc:cellImage>
    <xdr:pic>
      <xdr:nvPicPr>
        <xdr:cNvPr id="233" name="ID_1AE460E9A03641519451E89973EFC388" descr="Picture"/>
        <xdr:cNvPicPr/>
      </xdr:nvPicPr>
      <xdr:blipFill>
        <a:blip r:embed="rId232" cstate="print"/>
        <a:stretch>
          <a:fillRect/>
        </a:stretch>
      </xdr:blipFill>
      <xdr:spPr>
        <a:xfrm>
          <a:off x="0" y="161524950"/>
          <a:ext cx="619125" cy="676275"/>
        </a:xfrm>
        <a:prstGeom prst="rect">
          <a:avLst/>
        </a:prstGeom>
      </xdr:spPr>
    </xdr:pic>
  </etc:cellImage>
  <etc:cellImage>
    <xdr:pic>
      <xdr:nvPicPr>
        <xdr:cNvPr id="234" name="ID_D81E0C42C71B4F8EB8567A8D68D4B735" descr="Picture"/>
        <xdr:cNvPicPr/>
      </xdr:nvPicPr>
      <xdr:blipFill>
        <a:blip r:embed="rId233" cstate="print"/>
        <a:stretch>
          <a:fillRect/>
        </a:stretch>
      </xdr:blipFill>
      <xdr:spPr>
        <a:xfrm>
          <a:off x="0" y="162223450"/>
          <a:ext cx="619125" cy="676275"/>
        </a:xfrm>
        <a:prstGeom prst="rect">
          <a:avLst/>
        </a:prstGeom>
      </xdr:spPr>
    </xdr:pic>
  </etc:cellImage>
  <etc:cellImage>
    <xdr:pic>
      <xdr:nvPicPr>
        <xdr:cNvPr id="235" name="ID_A00137F4EF364DDEA094A1FC27CEFEC6" descr="Picture"/>
        <xdr:cNvPicPr/>
      </xdr:nvPicPr>
      <xdr:blipFill>
        <a:blip r:embed="rId234" cstate="print"/>
        <a:stretch>
          <a:fillRect/>
        </a:stretch>
      </xdr:blipFill>
      <xdr:spPr>
        <a:xfrm>
          <a:off x="0" y="162921950"/>
          <a:ext cx="619125" cy="676275"/>
        </a:xfrm>
        <a:prstGeom prst="rect">
          <a:avLst/>
        </a:prstGeom>
      </xdr:spPr>
    </xdr:pic>
  </etc:cellImage>
  <etc:cellImage>
    <xdr:pic>
      <xdr:nvPicPr>
        <xdr:cNvPr id="236" name="ID_13EC432FE6FC42B496D42032B79706AA" descr="Picture"/>
        <xdr:cNvPicPr/>
      </xdr:nvPicPr>
      <xdr:blipFill>
        <a:blip r:embed="rId235" cstate="print"/>
        <a:stretch>
          <a:fillRect/>
        </a:stretch>
      </xdr:blipFill>
      <xdr:spPr>
        <a:xfrm>
          <a:off x="0" y="163620450"/>
          <a:ext cx="619125" cy="676275"/>
        </a:xfrm>
        <a:prstGeom prst="rect">
          <a:avLst/>
        </a:prstGeom>
      </xdr:spPr>
    </xdr:pic>
  </etc:cellImage>
  <etc:cellImage>
    <xdr:pic>
      <xdr:nvPicPr>
        <xdr:cNvPr id="237" name="ID_484B289A2E3C4A818AA7A2B9696B77FE" descr="Picture"/>
        <xdr:cNvPicPr/>
      </xdr:nvPicPr>
      <xdr:blipFill>
        <a:blip r:embed="rId236" cstate="print"/>
        <a:stretch>
          <a:fillRect/>
        </a:stretch>
      </xdr:blipFill>
      <xdr:spPr>
        <a:xfrm>
          <a:off x="0" y="164318950"/>
          <a:ext cx="619125" cy="676275"/>
        </a:xfrm>
        <a:prstGeom prst="rect">
          <a:avLst/>
        </a:prstGeom>
      </xdr:spPr>
    </xdr:pic>
  </etc:cellImage>
  <etc:cellImage>
    <xdr:pic>
      <xdr:nvPicPr>
        <xdr:cNvPr id="238" name="ID_7B8D12A8014042C49D89267021AE4D22" descr="Picture"/>
        <xdr:cNvPicPr/>
      </xdr:nvPicPr>
      <xdr:blipFill>
        <a:blip r:embed="rId237" cstate="print"/>
        <a:stretch>
          <a:fillRect/>
        </a:stretch>
      </xdr:blipFill>
      <xdr:spPr>
        <a:xfrm>
          <a:off x="0" y="165017450"/>
          <a:ext cx="619125" cy="676275"/>
        </a:xfrm>
        <a:prstGeom prst="rect">
          <a:avLst/>
        </a:prstGeom>
      </xdr:spPr>
    </xdr:pic>
  </etc:cellImage>
  <etc:cellImage>
    <xdr:pic>
      <xdr:nvPicPr>
        <xdr:cNvPr id="239" name="ID_AE60F5399ECC454EABE3D9B9CCD24695" descr="Picture"/>
        <xdr:cNvPicPr/>
      </xdr:nvPicPr>
      <xdr:blipFill>
        <a:blip r:embed="rId238" cstate="print"/>
        <a:stretch>
          <a:fillRect/>
        </a:stretch>
      </xdr:blipFill>
      <xdr:spPr>
        <a:xfrm>
          <a:off x="0" y="165715950"/>
          <a:ext cx="619125" cy="676275"/>
        </a:xfrm>
        <a:prstGeom prst="rect">
          <a:avLst/>
        </a:prstGeom>
      </xdr:spPr>
    </xdr:pic>
  </etc:cellImage>
  <etc:cellImage>
    <xdr:pic>
      <xdr:nvPicPr>
        <xdr:cNvPr id="240" name="ID_F8891600C94042B4A61170876D0C5FFD" descr="Picture"/>
        <xdr:cNvPicPr/>
      </xdr:nvPicPr>
      <xdr:blipFill>
        <a:blip r:embed="rId239" cstate="print"/>
        <a:stretch>
          <a:fillRect/>
        </a:stretch>
      </xdr:blipFill>
      <xdr:spPr>
        <a:xfrm>
          <a:off x="0" y="166414450"/>
          <a:ext cx="619125" cy="676275"/>
        </a:xfrm>
        <a:prstGeom prst="rect">
          <a:avLst/>
        </a:prstGeom>
      </xdr:spPr>
    </xdr:pic>
  </etc:cellImage>
  <etc:cellImage>
    <xdr:pic>
      <xdr:nvPicPr>
        <xdr:cNvPr id="241" name="ID_D715429B110349D3BFB3C6F5CDBA6B37" descr="Picture"/>
        <xdr:cNvPicPr/>
      </xdr:nvPicPr>
      <xdr:blipFill>
        <a:blip r:embed="rId240" cstate="print"/>
        <a:stretch>
          <a:fillRect/>
        </a:stretch>
      </xdr:blipFill>
      <xdr:spPr>
        <a:xfrm>
          <a:off x="0" y="167112950"/>
          <a:ext cx="619125" cy="676275"/>
        </a:xfrm>
        <a:prstGeom prst="rect">
          <a:avLst/>
        </a:prstGeom>
      </xdr:spPr>
    </xdr:pic>
  </etc:cellImage>
  <etc:cellImage>
    <xdr:pic>
      <xdr:nvPicPr>
        <xdr:cNvPr id="242" name="ID_8285C570E15A4A059E8BAFE319560D84" descr="Picture"/>
        <xdr:cNvPicPr/>
      </xdr:nvPicPr>
      <xdr:blipFill>
        <a:blip r:embed="rId241" cstate="print"/>
        <a:stretch>
          <a:fillRect/>
        </a:stretch>
      </xdr:blipFill>
      <xdr:spPr>
        <a:xfrm>
          <a:off x="0" y="167811450"/>
          <a:ext cx="619125" cy="676275"/>
        </a:xfrm>
        <a:prstGeom prst="rect">
          <a:avLst/>
        </a:prstGeom>
      </xdr:spPr>
    </xdr:pic>
  </etc:cellImage>
  <etc:cellImage>
    <xdr:pic>
      <xdr:nvPicPr>
        <xdr:cNvPr id="243" name="ID_D8C4B64548534CF5A8D2E4090FB0B11D" descr="Picture"/>
        <xdr:cNvPicPr/>
      </xdr:nvPicPr>
      <xdr:blipFill>
        <a:blip r:embed="rId242" cstate="print"/>
        <a:stretch>
          <a:fillRect/>
        </a:stretch>
      </xdr:blipFill>
      <xdr:spPr>
        <a:xfrm>
          <a:off x="0" y="168509950"/>
          <a:ext cx="619125" cy="676275"/>
        </a:xfrm>
        <a:prstGeom prst="rect">
          <a:avLst/>
        </a:prstGeom>
      </xdr:spPr>
    </xdr:pic>
  </etc:cellImage>
  <etc:cellImage>
    <xdr:pic>
      <xdr:nvPicPr>
        <xdr:cNvPr id="244" name="ID_B89E3479343E43DF81B968EECB750728" descr="Picture"/>
        <xdr:cNvPicPr/>
      </xdr:nvPicPr>
      <xdr:blipFill>
        <a:blip r:embed="rId243" cstate="print"/>
        <a:stretch>
          <a:fillRect/>
        </a:stretch>
      </xdr:blipFill>
      <xdr:spPr>
        <a:xfrm>
          <a:off x="0" y="169208450"/>
          <a:ext cx="619125" cy="676275"/>
        </a:xfrm>
        <a:prstGeom prst="rect">
          <a:avLst/>
        </a:prstGeom>
      </xdr:spPr>
    </xdr:pic>
  </etc:cellImage>
  <etc:cellImage>
    <xdr:pic>
      <xdr:nvPicPr>
        <xdr:cNvPr id="245" name="ID_6A72EDACAEE540728068A5B58047D7C1" descr="Picture"/>
        <xdr:cNvPicPr/>
      </xdr:nvPicPr>
      <xdr:blipFill>
        <a:blip r:embed="rId244" cstate="print"/>
        <a:stretch>
          <a:fillRect/>
        </a:stretch>
      </xdr:blipFill>
      <xdr:spPr>
        <a:xfrm>
          <a:off x="0" y="169906950"/>
          <a:ext cx="619125" cy="676275"/>
        </a:xfrm>
        <a:prstGeom prst="rect">
          <a:avLst/>
        </a:prstGeom>
      </xdr:spPr>
    </xdr:pic>
  </etc:cellImage>
  <etc:cellImage>
    <xdr:pic>
      <xdr:nvPicPr>
        <xdr:cNvPr id="246" name="ID_74C4EB491EBF430BAC528857BC2D34A9" descr="Picture"/>
        <xdr:cNvPicPr/>
      </xdr:nvPicPr>
      <xdr:blipFill>
        <a:blip r:embed="rId245" cstate="print"/>
        <a:stretch>
          <a:fillRect/>
        </a:stretch>
      </xdr:blipFill>
      <xdr:spPr>
        <a:xfrm>
          <a:off x="0" y="170605450"/>
          <a:ext cx="619125" cy="676275"/>
        </a:xfrm>
        <a:prstGeom prst="rect">
          <a:avLst/>
        </a:prstGeom>
      </xdr:spPr>
    </xdr:pic>
  </etc:cellImage>
  <etc:cellImage>
    <xdr:pic>
      <xdr:nvPicPr>
        <xdr:cNvPr id="247" name="ID_7DA67B12E6654F28BC1C4A8547BE9D47" descr="Picture"/>
        <xdr:cNvPicPr/>
      </xdr:nvPicPr>
      <xdr:blipFill>
        <a:blip r:embed="rId246" cstate="print"/>
        <a:stretch>
          <a:fillRect/>
        </a:stretch>
      </xdr:blipFill>
      <xdr:spPr>
        <a:xfrm>
          <a:off x="0" y="171303950"/>
          <a:ext cx="619125" cy="676275"/>
        </a:xfrm>
        <a:prstGeom prst="rect">
          <a:avLst/>
        </a:prstGeom>
      </xdr:spPr>
    </xdr:pic>
  </etc:cellImage>
  <etc:cellImage>
    <xdr:pic>
      <xdr:nvPicPr>
        <xdr:cNvPr id="248" name="ID_C02F11C16F4D4A288C02C98519C2112B" descr="Picture"/>
        <xdr:cNvPicPr/>
      </xdr:nvPicPr>
      <xdr:blipFill>
        <a:blip r:embed="rId247" cstate="print"/>
        <a:stretch>
          <a:fillRect/>
        </a:stretch>
      </xdr:blipFill>
      <xdr:spPr>
        <a:xfrm>
          <a:off x="0" y="172002450"/>
          <a:ext cx="619125" cy="676275"/>
        </a:xfrm>
        <a:prstGeom prst="rect">
          <a:avLst/>
        </a:prstGeom>
      </xdr:spPr>
    </xdr:pic>
  </etc:cellImage>
  <etc:cellImage>
    <xdr:pic>
      <xdr:nvPicPr>
        <xdr:cNvPr id="249" name="ID_D8826D9FCC67411BB982C200236148AA" descr="Picture"/>
        <xdr:cNvPicPr/>
      </xdr:nvPicPr>
      <xdr:blipFill>
        <a:blip r:embed="rId248" cstate="print"/>
        <a:stretch>
          <a:fillRect/>
        </a:stretch>
      </xdr:blipFill>
      <xdr:spPr>
        <a:xfrm>
          <a:off x="0" y="172700950"/>
          <a:ext cx="619125" cy="676275"/>
        </a:xfrm>
        <a:prstGeom prst="rect">
          <a:avLst/>
        </a:prstGeom>
      </xdr:spPr>
    </xdr:pic>
  </etc:cellImage>
  <etc:cellImage>
    <xdr:pic>
      <xdr:nvPicPr>
        <xdr:cNvPr id="250" name="ID_64F656F280AE4D09B33E127ACBF71528" descr="Picture"/>
        <xdr:cNvPicPr/>
      </xdr:nvPicPr>
      <xdr:blipFill>
        <a:blip r:embed="rId249" cstate="print"/>
        <a:stretch>
          <a:fillRect/>
        </a:stretch>
      </xdr:blipFill>
      <xdr:spPr>
        <a:xfrm>
          <a:off x="0" y="173399450"/>
          <a:ext cx="619125" cy="676275"/>
        </a:xfrm>
        <a:prstGeom prst="rect">
          <a:avLst/>
        </a:prstGeom>
      </xdr:spPr>
    </xdr:pic>
  </etc:cellImage>
  <etc:cellImage>
    <xdr:pic>
      <xdr:nvPicPr>
        <xdr:cNvPr id="251" name="ID_F07C7623F7984431A19B1D5DE928FD5F" descr="Picture"/>
        <xdr:cNvPicPr/>
      </xdr:nvPicPr>
      <xdr:blipFill>
        <a:blip r:embed="rId250" cstate="print"/>
        <a:stretch>
          <a:fillRect/>
        </a:stretch>
      </xdr:blipFill>
      <xdr:spPr>
        <a:xfrm>
          <a:off x="0" y="174097950"/>
          <a:ext cx="619125" cy="676275"/>
        </a:xfrm>
        <a:prstGeom prst="rect">
          <a:avLst/>
        </a:prstGeom>
      </xdr:spPr>
    </xdr:pic>
  </etc:cellImage>
  <etc:cellImage>
    <xdr:pic>
      <xdr:nvPicPr>
        <xdr:cNvPr id="252" name="ID_DD56E27014434774AF9374EB3BD52E44" descr="Picture"/>
        <xdr:cNvPicPr/>
      </xdr:nvPicPr>
      <xdr:blipFill>
        <a:blip r:embed="rId251" cstate="print"/>
        <a:stretch>
          <a:fillRect/>
        </a:stretch>
      </xdr:blipFill>
      <xdr:spPr>
        <a:xfrm>
          <a:off x="0" y="174796450"/>
          <a:ext cx="619125" cy="676275"/>
        </a:xfrm>
        <a:prstGeom prst="rect">
          <a:avLst/>
        </a:prstGeom>
      </xdr:spPr>
    </xdr:pic>
  </etc:cellImage>
  <etc:cellImage>
    <xdr:pic>
      <xdr:nvPicPr>
        <xdr:cNvPr id="253" name="ID_8DD464CE1D7F4105A8831D58323C2632" descr="Picture"/>
        <xdr:cNvPicPr/>
      </xdr:nvPicPr>
      <xdr:blipFill>
        <a:blip r:embed="rId252" cstate="print"/>
        <a:stretch>
          <a:fillRect/>
        </a:stretch>
      </xdr:blipFill>
      <xdr:spPr>
        <a:xfrm>
          <a:off x="0" y="175494950"/>
          <a:ext cx="619125" cy="676275"/>
        </a:xfrm>
        <a:prstGeom prst="rect">
          <a:avLst/>
        </a:prstGeom>
      </xdr:spPr>
    </xdr:pic>
  </etc:cellImage>
  <etc:cellImage>
    <xdr:pic>
      <xdr:nvPicPr>
        <xdr:cNvPr id="254" name="ID_28A7C90EEBA74124940388738F5B46F0" descr="Picture"/>
        <xdr:cNvPicPr/>
      </xdr:nvPicPr>
      <xdr:blipFill>
        <a:blip r:embed="rId253" cstate="print"/>
        <a:stretch>
          <a:fillRect/>
        </a:stretch>
      </xdr:blipFill>
      <xdr:spPr>
        <a:xfrm>
          <a:off x="0" y="176193450"/>
          <a:ext cx="619125" cy="676275"/>
        </a:xfrm>
        <a:prstGeom prst="rect">
          <a:avLst/>
        </a:prstGeom>
      </xdr:spPr>
    </xdr:pic>
  </etc:cellImage>
  <etc:cellImage>
    <xdr:pic>
      <xdr:nvPicPr>
        <xdr:cNvPr id="255" name="ID_060540F803794698964380DEB45A8668" descr="Picture"/>
        <xdr:cNvPicPr/>
      </xdr:nvPicPr>
      <xdr:blipFill>
        <a:blip r:embed="rId254" cstate="print"/>
        <a:stretch>
          <a:fillRect/>
        </a:stretch>
      </xdr:blipFill>
      <xdr:spPr>
        <a:xfrm>
          <a:off x="0" y="176891950"/>
          <a:ext cx="619125" cy="676275"/>
        </a:xfrm>
        <a:prstGeom prst="rect">
          <a:avLst/>
        </a:prstGeom>
      </xdr:spPr>
    </xdr:pic>
  </etc:cellImage>
  <etc:cellImage>
    <xdr:pic>
      <xdr:nvPicPr>
        <xdr:cNvPr id="256" name="ID_D1B4C42B2BE34A74872DEEB4C7956826" descr="Picture"/>
        <xdr:cNvPicPr/>
      </xdr:nvPicPr>
      <xdr:blipFill>
        <a:blip r:embed="rId255" cstate="print"/>
        <a:stretch>
          <a:fillRect/>
        </a:stretch>
      </xdr:blipFill>
      <xdr:spPr>
        <a:xfrm>
          <a:off x="0" y="177590450"/>
          <a:ext cx="619125" cy="676275"/>
        </a:xfrm>
        <a:prstGeom prst="rect">
          <a:avLst/>
        </a:prstGeom>
      </xdr:spPr>
    </xdr:pic>
  </etc:cellImage>
  <etc:cellImage>
    <xdr:pic>
      <xdr:nvPicPr>
        <xdr:cNvPr id="257" name="ID_467212762E0C413EA2C82B2C865F3D11" descr="Picture"/>
        <xdr:cNvPicPr/>
      </xdr:nvPicPr>
      <xdr:blipFill>
        <a:blip r:embed="rId256" cstate="print"/>
        <a:stretch>
          <a:fillRect/>
        </a:stretch>
      </xdr:blipFill>
      <xdr:spPr>
        <a:xfrm>
          <a:off x="0" y="178288950"/>
          <a:ext cx="619125" cy="676275"/>
        </a:xfrm>
        <a:prstGeom prst="rect">
          <a:avLst/>
        </a:prstGeom>
      </xdr:spPr>
    </xdr:pic>
  </etc:cellImage>
  <etc:cellImage>
    <xdr:pic>
      <xdr:nvPicPr>
        <xdr:cNvPr id="258" name="ID_0387B5D15C14484C8068EF2F450A1521" descr="Picture"/>
        <xdr:cNvPicPr/>
      </xdr:nvPicPr>
      <xdr:blipFill>
        <a:blip r:embed="rId257" cstate="print"/>
        <a:stretch>
          <a:fillRect/>
        </a:stretch>
      </xdr:blipFill>
      <xdr:spPr>
        <a:xfrm>
          <a:off x="0" y="178987450"/>
          <a:ext cx="619125" cy="676275"/>
        </a:xfrm>
        <a:prstGeom prst="rect">
          <a:avLst/>
        </a:prstGeom>
      </xdr:spPr>
    </xdr:pic>
  </etc:cellImage>
  <etc:cellImage>
    <xdr:pic>
      <xdr:nvPicPr>
        <xdr:cNvPr id="259" name="ID_EC93BAC3E0FF48F4AB982B04FB86365B" descr="Picture"/>
        <xdr:cNvPicPr/>
      </xdr:nvPicPr>
      <xdr:blipFill>
        <a:blip r:embed="rId258" cstate="print"/>
        <a:stretch>
          <a:fillRect/>
        </a:stretch>
      </xdr:blipFill>
      <xdr:spPr>
        <a:xfrm>
          <a:off x="0" y="179685950"/>
          <a:ext cx="619125" cy="676275"/>
        </a:xfrm>
        <a:prstGeom prst="rect">
          <a:avLst/>
        </a:prstGeom>
      </xdr:spPr>
    </xdr:pic>
  </etc:cellImage>
  <etc:cellImage>
    <xdr:pic>
      <xdr:nvPicPr>
        <xdr:cNvPr id="260" name="ID_6B02EBEE61D54EC2A32785ABAF305031" descr="Picture"/>
        <xdr:cNvPicPr/>
      </xdr:nvPicPr>
      <xdr:blipFill>
        <a:blip r:embed="rId259" cstate="print"/>
        <a:stretch>
          <a:fillRect/>
        </a:stretch>
      </xdr:blipFill>
      <xdr:spPr>
        <a:xfrm>
          <a:off x="0" y="180384450"/>
          <a:ext cx="619125" cy="676275"/>
        </a:xfrm>
        <a:prstGeom prst="rect">
          <a:avLst/>
        </a:prstGeom>
      </xdr:spPr>
    </xdr:pic>
  </etc:cellImage>
  <etc:cellImage>
    <xdr:pic>
      <xdr:nvPicPr>
        <xdr:cNvPr id="261" name="ID_74C229EA9FB54C72818D4F94E8EAD4A9" descr="Picture"/>
        <xdr:cNvPicPr/>
      </xdr:nvPicPr>
      <xdr:blipFill>
        <a:blip r:embed="rId260" cstate="print"/>
        <a:stretch>
          <a:fillRect/>
        </a:stretch>
      </xdr:blipFill>
      <xdr:spPr>
        <a:xfrm>
          <a:off x="0" y="181082950"/>
          <a:ext cx="619125" cy="676275"/>
        </a:xfrm>
        <a:prstGeom prst="rect">
          <a:avLst/>
        </a:prstGeom>
      </xdr:spPr>
    </xdr:pic>
  </etc:cellImage>
  <etc:cellImage>
    <xdr:pic>
      <xdr:nvPicPr>
        <xdr:cNvPr id="262" name="ID_7D1325CCFA2749ED930A946D41FF94D8" descr="Picture"/>
        <xdr:cNvPicPr/>
      </xdr:nvPicPr>
      <xdr:blipFill>
        <a:blip r:embed="rId261" cstate="print"/>
        <a:stretch>
          <a:fillRect/>
        </a:stretch>
      </xdr:blipFill>
      <xdr:spPr>
        <a:xfrm>
          <a:off x="0" y="181781450"/>
          <a:ext cx="619125" cy="676275"/>
        </a:xfrm>
        <a:prstGeom prst="rect">
          <a:avLst/>
        </a:prstGeom>
      </xdr:spPr>
    </xdr:pic>
  </etc:cellImage>
  <etc:cellImage>
    <xdr:pic>
      <xdr:nvPicPr>
        <xdr:cNvPr id="263" name="ID_39714148D6FE453E83D8BD2093E8AEF1" descr="Picture"/>
        <xdr:cNvPicPr/>
      </xdr:nvPicPr>
      <xdr:blipFill>
        <a:blip r:embed="rId262" cstate="print"/>
        <a:stretch>
          <a:fillRect/>
        </a:stretch>
      </xdr:blipFill>
      <xdr:spPr>
        <a:xfrm>
          <a:off x="0" y="182479950"/>
          <a:ext cx="619125" cy="676275"/>
        </a:xfrm>
        <a:prstGeom prst="rect">
          <a:avLst/>
        </a:prstGeom>
      </xdr:spPr>
    </xdr:pic>
  </etc:cellImage>
  <etc:cellImage>
    <xdr:pic>
      <xdr:nvPicPr>
        <xdr:cNvPr id="264" name="ID_906EF9DC2C7A40BB9EC29FC6AB9B9324" descr="Picture"/>
        <xdr:cNvPicPr/>
      </xdr:nvPicPr>
      <xdr:blipFill>
        <a:blip r:embed="rId263" cstate="print"/>
        <a:stretch>
          <a:fillRect/>
        </a:stretch>
      </xdr:blipFill>
      <xdr:spPr>
        <a:xfrm>
          <a:off x="0" y="183178450"/>
          <a:ext cx="619125" cy="676275"/>
        </a:xfrm>
        <a:prstGeom prst="rect">
          <a:avLst/>
        </a:prstGeom>
      </xdr:spPr>
    </xdr:pic>
  </etc:cellImage>
  <etc:cellImage>
    <xdr:pic>
      <xdr:nvPicPr>
        <xdr:cNvPr id="265" name="ID_48F25D63C1CF4C88BD78BE231E77AD08" descr="Picture"/>
        <xdr:cNvPicPr/>
      </xdr:nvPicPr>
      <xdr:blipFill>
        <a:blip r:embed="rId264" cstate="print"/>
        <a:stretch>
          <a:fillRect/>
        </a:stretch>
      </xdr:blipFill>
      <xdr:spPr>
        <a:xfrm>
          <a:off x="0" y="183876950"/>
          <a:ext cx="619125" cy="676275"/>
        </a:xfrm>
        <a:prstGeom prst="rect">
          <a:avLst/>
        </a:prstGeom>
      </xdr:spPr>
    </xdr:pic>
  </etc:cellImage>
  <etc:cellImage>
    <xdr:pic>
      <xdr:nvPicPr>
        <xdr:cNvPr id="266" name="ID_8EAAADCE46F24B26BF274C919A7C63A9" descr="Picture"/>
        <xdr:cNvPicPr/>
      </xdr:nvPicPr>
      <xdr:blipFill>
        <a:blip r:embed="rId265" cstate="print"/>
        <a:stretch>
          <a:fillRect/>
        </a:stretch>
      </xdr:blipFill>
      <xdr:spPr>
        <a:xfrm>
          <a:off x="0" y="184575450"/>
          <a:ext cx="619125" cy="676275"/>
        </a:xfrm>
        <a:prstGeom prst="rect">
          <a:avLst/>
        </a:prstGeom>
      </xdr:spPr>
    </xdr:pic>
  </etc:cellImage>
  <etc:cellImage>
    <xdr:pic>
      <xdr:nvPicPr>
        <xdr:cNvPr id="267" name="ID_D68C07F14EE7457A947A64C58A9593BF" descr="Picture"/>
        <xdr:cNvPicPr/>
      </xdr:nvPicPr>
      <xdr:blipFill>
        <a:blip r:embed="rId266" cstate="print"/>
        <a:stretch>
          <a:fillRect/>
        </a:stretch>
      </xdr:blipFill>
      <xdr:spPr>
        <a:xfrm>
          <a:off x="0" y="185273950"/>
          <a:ext cx="619125" cy="676275"/>
        </a:xfrm>
        <a:prstGeom prst="rect">
          <a:avLst/>
        </a:prstGeom>
      </xdr:spPr>
    </xdr:pic>
  </etc:cellImage>
  <etc:cellImage>
    <xdr:pic>
      <xdr:nvPicPr>
        <xdr:cNvPr id="268" name="ID_AA844856CDBC4B31A414C83F45631845" descr="Picture"/>
        <xdr:cNvPicPr/>
      </xdr:nvPicPr>
      <xdr:blipFill>
        <a:blip r:embed="rId267" cstate="print"/>
        <a:stretch>
          <a:fillRect/>
        </a:stretch>
      </xdr:blipFill>
      <xdr:spPr>
        <a:xfrm>
          <a:off x="0" y="185972450"/>
          <a:ext cx="619125" cy="676275"/>
        </a:xfrm>
        <a:prstGeom prst="rect">
          <a:avLst/>
        </a:prstGeom>
      </xdr:spPr>
    </xdr:pic>
  </etc:cellImage>
  <etc:cellImage>
    <xdr:pic>
      <xdr:nvPicPr>
        <xdr:cNvPr id="269" name="ID_2C1A333B9AF64158857433C9AADE6ECA" descr="Picture"/>
        <xdr:cNvPicPr/>
      </xdr:nvPicPr>
      <xdr:blipFill>
        <a:blip r:embed="rId268" cstate="print"/>
        <a:stretch>
          <a:fillRect/>
        </a:stretch>
      </xdr:blipFill>
      <xdr:spPr>
        <a:xfrm>
          <a:off x="0" y="186670950"/>
          <a:ext cx="619125" cy="676275"/>
        </a:xfrm>
        <a:prstGeom prst="rect">
          <a:avLst/>
        </a:prstGeom>
      </xdr:spPr>
    </xdr:pic>
  </etc:cellImage>
  <etc:cellImage>
    <xdr:pic>
      <xdr:nvPicPr>
        <xdr:cNvPr id="270" name="ID_8A30F4C7FCB14AC39EFE56AB0879E7C5" descr="Picture"/>
        <xdr:cNvPicPr/>
      </xdr:nvPicPr>
      <xdr:blipFill>
        <a:blip r:embed="rId269" cstate="print"/>
        <a:stretch>
          <a:fillRect/>
        </a:stretch>
      </xdr:blipFill>
      <xdr:spPr>
        <a:xfrm>
          <a:off x="0" y="187369450"/>
          <a:ext cx="619125" cy="676275"/>
        </a:xfrm>
        <a:prstGeom prst="rect">
          <a:avLst/>
        </a:prstGeom>
      </xdr:spPr>
    </xdr:pic>
  </etc:cellImage>
  <etc:cellImage>
    <xdr:pic>
      <xdr:nvPicPr>
        <xdr:cNvPr id="271" name="ID_26DECCA092EC4153840CEDDFE911974A" descr="Picture"/>
        <xdr:cNvPicPr/>
      </xdr:nvPicPr>
      <xdr:blipFill>
        <a:blip r:embed="rId270" cstate="print"/>
        <a:stretch>
          <a:fillRect/>
        </a:stretch>
      </xdr:blipFill>
      <xdr:spPr>
        <a:xfrm>
          <a:off x="0" y="188067950"/>
          <a:ext cx="619125" cy="676275"/>
        </a:xfrm>
        <a:prstGeom prst="rect">
          <a:avLst/>
        </a:prstGeom>
      </xdr:spPr>
    </xdr:pic>
  </etc:cellImage>
  <etc:cellImage>
    <xdr:pic>
      <xdr:nvPicPr>
        <xdr:cNvPr id="272" name="ID_06829B560F044559A8BF62A5C1ECFD9C" descr="Picture"/>
        <xdr:cNvPicPr/>
      </xdr:nvPicPr>
      <xdr:blipFill>
        <a:blip r:embed="rId271" cstate="print"/>
        <a:stretch>
          <a:fillRect/>
        </a:stretch>
      </xdr:blipFill>
      <xdr:spPr>
        <a:xfrm>
          <a:off x="0" y="188766450"/>
          <a:ext cx="619125" cy="676275"/>
        </a:xfrm>
        <a:prstGeom prst="rect">
          <a:avLst/>
        </a:prstGeom>
      </xdr:spPr>
    </xdr:pic>
  </etc:cellImage>
  <etc:cellImage>
    <xdr:pic>
      <xdr:nvPicPr>
        <xdr:cNvPr id="273" name="ID_315D219404AE4EC48F2BBA0B9D0EB6C7" descr="Picture"/>
        <xdr:cNvPicPr/>
      </xdr:nvPicPr>
      <xdr:blipFill>
        <a:blip r:embed="rId272" cstate="print"/>
        <a:stretch>
          <a:fillRect/>
        </a:stretch>
      </xdr:blipFill>
      <xdr:spPr>
        <a:xfrm>
          <a:off x="0" y="189464950"/>
          <a:ext cx="619125" cy="676275"/>
        </a:xfrm>
        <a:prstGeom prst="rect">
          <a:avLst/>
        </a:prstGeom>
      </xdr:spPr>
    </xdr:pic>
  </etc:cellImage>
  <etc:cellImage>
    <xdr:pic>
      <xdr:nvPicPr>
        <xdr:cNvPr id="274" name="ID_5F576E005FD74816A7BDC1D622011548" descr="Picture"/>
        <xdr:cNvPicPr/>
      </xdr:nvPicPr>
      <xdr:blipFill>
        <a:blip r:embed="rId273" cstate="print"/>
        <a:stretch>
          <a:fillRect/>
        </a:stretch>
      </xdr:blipFill>
      <xdr:spPr>
        <a:xfrm>
          <a:off x="0" y="190163450"/>
          <a:ext cx="619125" cy="676275"/>
        </a:xfrm>
        <a:prstGeom prst="rect">
          <a:avLst/>
        </a:prstGeom>
      </xdr:spPr>
    </xdr:pic>
  </etc:cellImage>
  <etc:cellImage>
    <xdr:pic>
      <xdr:nvPicPr>
        <xdr:cNvPr id="275" name="ID_B9C02BAE745A41BDAE19542162585C1F" descr="Picture"/>
        <xdr:cNvPicPr/>
      </xdr:nvPicPr>
      <xdr:blipFill>
        <a:blip r:embed="rId274" cstate="print"/>
        <a:stretch>
          <a:fillRect/>
        </a:stretch>
      </xdr:blipFill>
      <xdr:spPr>
        <a:xfrm>
          <a:off x="0" y="190861950"/>
          <a:ext cx="619125" cy="676275"/>
        </a:xfrm>
        <a:prstGeom prst="rect">
          <a:avLst/>
        </a:prstGeom>
      </xdr:spPr>
    </xdr:pic>
  </etc:cellImage>
  <etc:cellImage>
    <xdr:pic>
      <xdr:nvPicPr>
        <xdr:cNvPr id="276" name="ID_E153980619444FD0B0566EB96DE6B50D" descr="Picture"/>
        <xdr:cNvPicPr/>
      </xdr:nvPicPr>
      <xdr:blipFill>
        <a:blip r:embed="rId275" cstate="print"/>
        <a:stretch>
          <a:fillRect/>
        </a:stretch>
      </xdr:blipFill>
      <xdr:spPr>
        <a:xfrm>
          <a:off x="0" y="191560450"/>
          <a:ext cx="619125" cy="676275"/>
        </a:xfrm>
        <a:prstGeom prst="rect">
          <a:avLst/>
        </a:prstGeom>
      </xdr:spPr>
    </xdr:pic>
  </etc:cellImage>
  <etc:cellImage>
    <xdr:pic>
      <xdr:nvPicPr>
        <xdr:cNvPr id="277" name="ID_968F082D037E4A03B67A9D90593B6F0D" descr="Picture"/>
        <xdr:cNvPicPr/>
      </xdr:nvPicPr>
      <xdr:blipFill>
        <a:blip r:embed="rId276" cstate="print"/>
        <a:stretch>
          <a:fillRect/>
        </a:stretch>
      </xdr:blipFill>
      <xdr:spPr>
        <a:xfrm>
          <a:off x="0" y="192258950"/>
          <a:ext cx="619125" cy="676275"/>
        </a:xfrm>
        <a:prstGeom prst="rect">
          <a:avLst/>
        </a:prstGeom>
      </xdr:spPr>
    </xdr:pic>
  </etc:cellImage>
  <etc:cellImage>
    <xdr:pic>
      <xdr:nvPicPr>
        <xdr:cNvPr id="278" name="ID_977630A03BB0407B825D286ECF161567" descr="Picture"/>
        <xdr:cNvPicPr/>
      </xdr:nvPicPr>
      <xdr:blipFill>
        <a:blip r:embed="rId277" cstate="print"/>
        <a:stretch>
          <a:fillRect/>
        </a:stretch>
      </xdr:blipFill>
      <xdr:spPr>
        <a:xfrm>
          <a:off x="0" y="192957450"/>
          <a:ext cx="619125" cy="676275"/>
        </a:xfrm>
        <a:prstGeom prst="rect">
          <a:avLst/>
        </a:prstGeom>
      </xdr:spPr>
    </xdr:pic>
  </etc:cellImage>
  <etc:cellImage>
    <xdr:pic>
      <xdr:nvPicPr>
        <xdr:cNvPr id="279" name="ID_4FF33DD899354BECBEB1F0879CA97B7D" descr="Picture"/>
        <xdr:cNvPicPr/>
      </xdr:nvPicPr>
      <xdr:blipFill>
        <a:blip r:embed="rId278" cstate="print"/>
        <a:stretch>
          <a:fillRect/>
        </a:stretch>
      </xdr:blipFill>
      <xdr:spPr>
        <a:xfrm>
          <a:off x="0" y="193655950"/>
          <a:ext cx="619125" cy="676275"/>
        </a:xfrm>
        <a:prstGeom prst="rect">
          <a:avLst/>
        </a:prstGeom>
      </xdr:spPr>
    </xdr:pic>
  </etc:cellImage>
  <etc:cellImage>
    <xdr:pic>
      <xdr:nvPicPr>
        <xdr:cNvPr id="280" name="ID_EEEE76F64964445CBFE21F6374FE7024" descr="Picture"/>
        <xdr:cNvPicPr/>
      </xdr:nvPicPr>
      <xdr:blipFill>
        <a:blip r:embed="rId279" cstate="print"/>
        <a:stretch>
          <a:fillRect/>
        </a:stretch>
      </xdr:blipFill>
      <xdr:spPr>
        <a:xfrm>
          <a:off x="0" y="194354450"/>
          <a:ext cx="619125" cy="676275"/>
        </a:xfrm>
        <a:prstGeom prst="rect">
          <a:avLst/>
        </a:prstGeom>
      </xdr:spPr>
    </xdr:pic>
  </etc:cellImage>
  <etc:cellImage>
    <xdr:pic>
      <xdr:nvPicPr>
        <xdr:cNvPr id="281" name="ID_27E8FBCC0C10481C82935BE6FDB67C54" descr="Picture"/>
        <xdr:cNvPicPr/>
      </xdr:nvPicPr>
      <xdr:blipFill>
        <a:blip r:embed="rId280" cstate="print"/>
        <a:stretch>
          <a:fillRect/>
        </a:stretch>
      </xdr:blipFill>
      <xdr:spPr>
        <a:xfrm>
          <a:off x="0" y="195052950"/>
          <a:ext cx="619125" cy="676275"/>
        </a:xfrm>
        <a:prstGeom prst="rect">
          <a:avLst/>
        </a:prstGeom>
      </xdr:spPr>
    </xdr:pic>
  </etc:cellImage>
  <etc:cellImage>
    <xdr:pic>
      <xdr:nvPicPr>
        <xdr:cNvPr id="282" name="ID_2E8B78623EDC4EA0B15EF75BD013A3B5" descr="Picture"/>
        <xdr:cNvPicPr/>
      </xdr:nvPicPr>
      <xdr:blipFill>
        <a:blip r:embed="rId281" cstate="print"/>
        <a:stretch>
          <a:fillRect/>
        </a:stretch>
      </xdr:blipFill>
      <xdr:spPr>
        <a:xfrm>
          <a:off x="0" y="195751450"/>
          <a:ext cx="619125" cy="676275"/>
        </a:xfrm>
        <a:prstGeom prst="rect">
          <a:avLst/>
        </a:prstGeom>
      </xdr:spPr>
    </xdr:pic>
  </etc:cellImage>
  <etc:cellImage>
    <xdr:pic>
      <xdr:nvPicPr>
        <xdr:cNvPr id="283" name="ID_BA195CCA303D4999AA084178A7E664BE" descr="Picture"/>
        <xdr:cNvPicPr/>
      </xdr:nvPicPr>
      <xdr:blipFill>
        <a:blip r:embed="rId282" cstate="print"/>
        <a:stretch>
          <a:fillRect/>
        </a:stretch>
      </xdr:blipFill>
      <xdr:spPr>
        <a:xfrm>
          <a:off x="0" y="196449950"/>
          <a:ext cx="619125" cy="676275"/>
        </a:xfrm>
        <a:prstGeom prst="rect">
          <a:avLst/>
        </a:prstGeom>
      </xdr:spPr>
    </xdr:pic>
  </etc:cellImage>
  <etc:cellImage>
    <xdr:pic>
      <xdr:nvPicPr>
        <xdr:cNvPr id="284" name="ID_E72E11082CAF4F4AA0238A9068365444" descr="Picture"/>
        <xdr:cNvPicPr/>
      </xdr:nvPicPr>
      <xdr:blipFill>
        <a:blip r:embed="rId283" cstate="print"/>
        <a:stretch>
          <a:fillRect/>
        </a:stretch>
      </xdr:blipFill>
      <xdr:spPr>
        <a:xfrm>
          <a:off x="0" y="197148450"/>
          <a:ext cx="619125" cy="676275"/>
        </a:xfrm>
        <a:prstGeom prst="rect">
          <a:avLst/>
        </a:prstGeom>
      </xdr:spPr>
    </xdr:pic>
  </etc:cellImage>
  <etc:cellImage>
    <xdr:pic>
      <xdr:nvPicPr>
        <xdr:cNvPr id="285" name="ID_E859CA31160B431CBC7F95F42EF44B91" descr="Picture"/>
        <xdr:cNvPicPr/>
      </xdr:nvPicPr>
      <xdr:blipFill>
        <a:blip r:embed="rId284" cstate="print"/>
        <a:stretch>
          <a:fillRect/>
        </a:stretch>
      </xdr:blipFill>
      <xdr:spPr>
        <a:xfrm>
          <a:off x="0" y="197846950"/>
          <a:ext cx="619125" cy="676275"/>
        </a:xfrm>
        <a:prstGeom prst="rect">
          <a:avLst/>
        </a:prstGeom>
      </xdr:spPr>
    </xdr:pic>
  </etc:cellImage>
  <etc:cellImage>
    <xdr:pic>
      <xdr:nvPicPr>
        <xdr:cNvPr id="286" name="ID_3C83FAD7D2304F06AE0B1944C2A63A17" descr="Picture"/>
        <xdr:cNvPicPr/>
      </xdr:nvPicPr>
      <xdr:blipFill>
        <a:blip r:embed="rId285" cstate="print"/>
        <a:stretch>
          <a:fillRect/>
        </a:stretch>
      </xdr:blipFill>
      <xdr:spPr>
        <a:xfrm>
          <a:off x="0" y="198545450"/>
          <a:ext cx="619125" cy="676275"/>
        </a:xfrm>
        <a:prstGeom prst="rect">
          <a:avLst/>
        </a:prstGeom>
      </xdr:spPr>
    </xdr:pic>
  </etc:cellImage>
  <etc:cellImage>
    <xdr:pic>
      <xdr:nvPicPr>
        <xdr:cNvPr id="287" name="ID_9E1544AA7130442F9B463EFF5FAF95F0" descr="Picture"/>
        <xdr:cNvPicPr/>
      </xdr:nvPicPr>
      <xdr:blipFill>
        <a:blip r:embed="rId286" cstate="print"/>
        <a:stretch>
          <a:fillRect/>
        </a:stretch>
      </xdr:blipFill>
      <xdr:spPr>
        <a:xfrm>
          <a:off x="0" y="199243950"/>
          <a:ext cx="619125" cy="676275"/>
        </a:xfrm>
        <a:prstGeom prst="rect">
          <a:avLst/>
        </a:prstGeom>
      </xdr:spPr>
    </xdr:pic>
  </etc:cellImage>
  <etc:cellImage>
    <xdr:pic>
      <xdr:nvPicPr>
        <xdr:cNvPr id="288" name="ID_4142CA2BA9EB4E16BA975642150C67AF" descr="Picture"/>
        <xdr:cNvPicPr/>
      </xdr:nvPicPr>
      <xdr:blipFill>
        <a:blip r:embed="rId287" cstate="print"/>
        <a:stretch>
          <a:fillRect/>
        </a:stretch>
      </xdr:blipFill>
      <xdr:spPr>
        <a:xfrm>
          <a:off x="0" y="199942450"/>
          <a:ext cx="619125" cy="676275"/>
        </a:xfrm>
        <a:prstGeom prst="rect">
          <a:avLst/>
        </a:prstGeom>
      </xdr:spPr>
    </xdr:pic>
  </etc:cellImage>
  <etc:cellImage>
    <xdr:pic>
      <xdr:nvPicPr>
        <xdr:cNvPr id="289" name="ID_501F25F8765143AB94C68434CEDC26FA" descr="Picture"/>
        <xdr:cNvPicPr/>
      </xdr:nvPicPr>
      <xdr:blipFill>
        <a:blip r:embed="rId288" cstate="print"/>
        <a:stretch>
          <a:fillRect/>
        </a:stretch>
      </xdr:blipFill>
      <xdr:spPr>
        <a:xfrm>
          <a:off x="0" y="200640950"/>
          <a:ext cx="619125" cy="676275"/>
        </a:xfrm>
        <a:prstGeom prst="rect">
          <a:avLst/>
        </a:prstGeom>
      </xdr:spPr>
    </xdr:pic>
  </etc:cellImage>
  <etc:cellImage>
    <xdr:pic>
      <xdr:nvPicPr>
        <xdr:cNvPr id="290" name="ID_41E6F35FAD5C456E8C00E6BCA0B76901" descr="Picture"/>
        <xdr:cNvPicPr/>
      </xdr:nvPicPr>
      <xdr:blipFill>
        <a:blip r:embed="rId289" cstate="print"/>
        <a:stretch>
          <a:fillRect/>
        </a:stretch>
      </xdr:blipFill>
      <xdr:spPr>
        <a:xfrm>
          <a:off x="0" y="201339450"/>
          <a:ext cx="619125" cy="676275"/>
        </a:xfrm>
        <a:prstGeom prst="rect">
          <a:avLst/>
        </a:prstGeom>
      </xdr:spPr>
    </xdr:pic>
  </etc:cellImage>
  <etc:cellImage>
    <xdr:pic>
      <xdr:nvPicPr>
        <xdr:cNvPr id="291" name="ID_3CBC79E0C7034CE8950F8E404E6C08C6" descr="Picture"/>
        <xdr:cNvPicPr/>
      </xdr:nvPicPr>
      <xdr:blipFill>
        <a:blip r:embed="rId290" cstate="print"/>
        <a:stretch>
          <a:fillRect/>
        </a:stretch>
      </xdr:blipFill>
      <xdr:spPr>
        <a:xfrm>
          <a:off x="0" y="202037950"/>
          <a:ext cx="619125" cy="676275"/>
        </a:xfrm>
        <a:prstGeom prst="rect">
          <a:avLst/>
        </a:prstGeom>
      </xdr:spPr>
    </xdr:pic>
  </etc:cellImage>
  <etc:cellImage>
    <xdr:pic>
      <xdr:nvPicPr>
        <xdr:cNvPr id="292" name="ID_7A811D9EDE9342BE81898C90C3FA573F" descr="Picture"/>
        <xdr:cNvPicPr/>
      </xdr:nvPicPr>
      <xdr:blipFill>
        <a:blip r:embed="rId291" cstate="print"/>
        <a:stretch>
          <a:fillRect/>
        </a:stretch>
      </xdr:blipFill>
      <xdr:spPr>
        <a:xfrm>
          <a:off x="0" y="202736450"/>
          <a:ext cx="619125" cy="676275"/>
        </a:xfrm>
        <a:prstGeom prst="rect">
          <a:avLst/>
        </a:prstGeom>
      </xdr:spPr>
    </xdr:pic>
  </etc:cellImage>
  <etc:cellImage>
    <xdr:pic>
      <xdr:nvPicPr>
        <xdr:cNvPr id="293" name="ID_31AD2B5BA87B4699823A5D470FCE37AE" descr="Picture"/>
        <xdr:cNvPicPr/>
      </xdr:nvPicPr>
      <xdr:blipFill>
        <a:blip r:embed="rId292" cstate="print"/>
        <a:stretch>
          <a:fillRect/>
        </a:stretch>
      </xdr:blipFill>
      <xdr:spPr>
        <a:xfrm>
          <a:off x="0" y="203434950"/>
          <a:ext cx="619125" cy="676275"/>
        </a:xfrm>
        <a:prstGeom prst="rect">
          <a:avLst/>
        </a:prstGeom>
      </xdr:spPr>
    </xdr:pic>
  </etc:cellImage>
  <etc:cellImage>
    <xdr:pic>
      <xdr:nvPicPr>
        <xdr:cNvPr id="294" name="ID_3685CD5597CE4BFDA5BBC8A52389E32B" descr="Picture"/>
        <xdr:cNvPicPr/>
      </xdr:nvPicPr>
      <xdr:blipFill>
        <a:blip r:embed="rId293" cstate="print"/>
        <a:stretch>
          <a:fillRect/>
        </a:stretch>
      </xdr:blipFill>
      <xdr:spPr>
        <a:xfrm>
          <a:off x="0" y="204133450"/>
          <a:ext cx="619125" cy="676275"/>
        </a:xfrm>
        <a:prstGeom prst="rect">
          <a:avLst/>
        </a:prstGeom>
      </xdr:spPr>
    </xdr:pic>
  </etc:cellImage>
  <etc:cellImage>
    <xdr:pic>
      <xdr:nvPicPr>
        <xdr:cNvPr id="295" name="ID_EDADBB4FF2A84B84AC468F83E5E6BE43" descr="Picture"/>
        <xdr:cNvPicPr/>
      </xdr:nvPicPr>
      <xdr:blipFill>
        <a:blip r:embed="rId294" cstate="print"/>
        <a:stretch>
          <a:fillRect/>
        </a:stretch>
      </xdr:blipFill>
      <xdr:spPr>
        <a:xfrm>
          <a:off x="0" y="204831950"/>
          <a:ext cx="619125" cy="676275"/>
        </a:xfrm>
        <a:prstGeom prst="rect">
          <a:avLst/>
        </a:prstGeom>
      </xdr:spPr>
    </xdr:pic>
  </etc:cellImage>
  <etc:cellImage>
    <xdr:pic>
      <xdr:nvPicPr>
        <xdr:cNvPr id="296" name="ID_1D548C4EB9924038A820A37557FC386E" descr="Picture"/>
        <xdr:cNvPicPr/>
      </xdr:nvPicPr>
      <xdr:blipFill>
        <a:blip r:embed="rId295" cstate="print"/>
        <a:stretch>
          <a:fillRect/>
        </a:stretch>
      </xdr:blipFill>
      <xdr:spPr>
        <a:xfrm>
          <a:off x="0" y="205530450"/>
          <a:ext cx="619125" cy="676275"/>
        </a:xfrm>
        <a:prstGeom prst="rect">
          <a:avLst/>
        </a:prstGeom>
      </xdr:spPr>
    </xdr:pic>
  </etc:cellImage>
  <etc:cellImage>
    <xdr:pic>
      <xdr:nvPicPr>
        <xdr:cNvPr id="297" name="ID_76B034D247F54D05B6BD73F61DEDA686" descr="Picture"/>
        <xdr:cNvPicPr/>
      </xdr:nvPicPr>
      <xdr:blipFill>
        <a:blip r:embed="rId296" cstate="print"/>
        <a:stretch>
          <a:fillRect/>
        </a:stretch>
      </xdr:blipFill>
      <xdr:spPr>
        <a:xfrm>
          <a:off x="0" y="206228950"/>
          <a:ext cx="619125" cy="676275"/>
        </a:xfrm>
        <a:prstGeom prst="rect">
          <a:avLst/>
        </a:prstGeom>
      </xdr:spPr>
    </xdr:pic>
  </etc:cellImage>
  <etc:cellImage>
    <xdr:pic>
      <xdr:nvPicPr>
        <xdr:cNvPr id="298" name="ID_4BDB07D9E84D48FAAB24AF6B98338FFB" descr="Picture"/>
        <xdr:cNvPicPr/>
      </xdr:nvPicPr>
      <xdr:blipFill>
        <a:blip r:embed="rId297" cstate="print"/>
        <a:stretch>
          <a:fillRect/>
        </a:stretch>
      </xdr:blipFill>
      <xdr:spPr>
        <a:xfrm>
          <a:off x="0" y="206927450"/>
          <a:ext cx="619125" cy="676275"/>
        </a:xfrm>
        <a:prstGeom prst="rect">
          <a:avLst/>
        </a:prstGeom>
      </xdr:spPr>
    </xdr:pic>
  </etc:cellImage>
  <etc:cellImage>
    <xdr:pic>
      <xdr:nvPicPr>
        <xdr:cNvPr id="299" name="ID_A8AB3B7C8E9342CEBECFA5887733EB2A" descr="Picture"/>
        <xdr:cNvPicPr/>
      </xdr:nvPicPr>
      <xdr:blipFill>
        <a:blip r:embed="rId298" cstate="print"/>
        <a:stretch>
          <a:fillRect/>
        </a:stretch>
      </xdr:blipFill>
      <xdr:spPr>
        <a:xfrm>
          <a:off x="0" y="207625950"/>
          <a:ext cx="619125" cy="676275"/>
        </a:xfrm>
        <a:prstGeom prst="rect">
          <a:avLst/>
        </a:prstGeom>
      </xdr:spPr>
    </xdr:pic>
  </etc:cellImage>
  <etc:cellImage>
    <xdr:pic>
      <xdr:nvPicPr>
        <xdr:cNvPr id="300" name="ID_295D00F61F8F4B53BBB517346B4EB146" descr="Picture"/>
        <xdr:cNvPicPr/>
      </xdr:nvPicPr>
      <xdr:blipFill>
        <a:blip r:embed="rId299" cstate="print"/>
        <a:stretch>
          <a:fillRect/>
        </a:stretch>
      </xdr:blipFill>
      <xdr:spPr>
        <a:xfrm>
          <a:off x="0" y="208324450"/>
          <a:ext cx="619125" cy="676275"/>
        </a:xfrm>
        <a:prstGeom prst="rect">
          <a:avLst/>
        </a:prstGeom>
      </xdr:spPr>
    </xdr:pic>
  </etc:cellImage>
  <etc:cellImage>
    <xdr:pic>
      <xdr:nvPicPr>
        <xdr:cNvPr id="301" name="ID_B6F05AE8C47C4B2CAA5EF06E28CC9B90" descr="Picture"/>
        <xdr:cNvPicPr/>
      </xdr:nvPicPr>
      <xdr:blipFill>
        <a:blip r:embed="rId300" cstate="print"/>
        <a:stretch>
          <a:fillRect/>
        </a:stretch>
      </xdr:blipFill>
      <xdr:spPr>
        <a:xfrm>
          <a:off x="0" y="209022950"/>
          <a:ext cx="619125" cy="676275"/>
        </a:xfrm>
        <a:prstGeom prst="rect">
          <a:avLst/>
        </a:prstGeom>
      </xdr:spPr>
    </xdr:pic>
  </etc:cellImage>
  <etc:cellImage>
    <xdr:pic>
      <xdr:nvPicPr>
        <xdr:cNvPr id="302" name="ID_571F2462FAC24C9183F84CC59702547E" descr="Picture"/>
        <xdr:cNvPicPr/>
      </xdr:nvPicPr>
      <xdr:blipFill>
        <a:blip r:embed="rId301" cstate="print"/>
        <a:stretch>
          <a:fillRect/>
        </a:stretch>
      </xdr:blipFill>
      <xdr:spPr>
        <a:xfrm>
          <a:off x="0" y="209721450"/>
          <a:ext cx="619125" cy="676275"/>
        </a:xfrm>
        <a:prstGeom prst="rect">
          <a:avLst/>
        </a:prstGeom>
      </xdr:spPr>
    </xdr:pic>
  </etc:cellImage>
  <etc:cellImage>
    <xdr:pic>
      <xdr:nvPicPr>
        <xdr:cNvPr id="303" name="ID_E2EB121A890F4BC3B0BEA04EF36912C1" descr="Picture"/>
        <xdr:cNvPicPr/>
      </xdr:nvPicPr>
      <xdr:blipFill>
        <a:blip r:embed="rId302" cstate="print"/>
        <a:stretch>
          <a:fillRect/>
        </a:stretch>
      </xdr:blipFill>
      <xdr:spPr>
        <a:xfrm>
          <a:off x="0" y="210419950"/>
          <a:ext cx="619125" cy="676275"/>
        </a:xfrm>
        <a:prstGeom prst="rect">
          <a:avLst/>
        </a:prstGeom>
      </xdr:spPr>
    </xdr:pic>
  </etc:cellImage>
  <etc:cellImage>
    <xdr:pic>
      <xdr:nvPicPr>
        <xdr:cNvPr id="304" name="ID_181A7D7BC2A14487BCD9D0A51632D159" descr="Picture"/>
        <xdr:cNvPicPr/>
      </xdr:nvPicPr>
      <xdr:blipFill>
        <a:blip r:embed="rId303" cstate="print"/>
        <a:stretch>
          <a:fillRect/>
        </a:stretch>
      </xdr:blipFill>
      <xdr:spPr>
        <a:xfrm>
          <a:off x="0" y="211118450"/>
          <a:ext cx="619125" cy="676275"/>
        </a:xfrm>
        <a:prstGeom prst="rect">
          <a:avLst/>
        </a:prstGeom>
      </xdr:spPr>
    </xdr:pic>
  </etc:cellImage>
  <etc:cellImage>
    <xdr:pic>
      <xdr:nvPicPr>
        <xdr:cNvPr id="305" name="ID_073403EB355D41E6852F81BF045A5AE9" descr="Picture"/>
        <xdr:cNvPicPr/>
      </xdr:nvPicPr>
      <xdr:blipFill>
        <a:blip r:embed="rId304" cstate="print"/>
        <a:stretch>
          <a:fillRect/>
        </a:stretch>
      </xdr:blipFill>
      <xdr:spPr>
        <a:xfrm>
          <a:off x="0" y="211816950"/>
          <a:ext cx="619125" cy="676275"/>
        </a:xfrm>
        <a:prstGeom prst="rect">
          <a:avLst/>
        </a:prstGeom>
      </xdr:spPr>
    </xdr:pic>
  </etc:cellImage>
  <etc:cellImage>
    <xdr:pic>
      <xdr:nvPicPr>
        <xdr:cNvPr id="306" name="ID_CD1B710AD73743469F1A638EB85C1F1A" descr="Picture"/>
        <xdr:cNvPicPr/>
      </xdr:nvPicPr>
      <xdr:blipFill>
        <a:blip r:embed="rId305" cstate="print"/>
        <a:stretch>
          <a:fillRect/>
        </a:stretch>
      </xdr:blipFill>
      <xdr:spPr>
        <a:xfrm>
          <a:off x="0" y="212515450"/>
          <a:ext cx="619125" cy="676275"/>
        </a:xfrm>
        <a:prstGeom prst="rect">
          <a:avLst/>
        </a:prstGeom>
      </xdr:spPr>
    </xdr:pic>
  </etc:cellImage>
  <etc:cellImage>
    <xdr:pic>
      <xdr:nvPicPr>
        <xdr:cNvPr id="307" name="ID_75B15BE0D04942C1887F5BCA92E79179" descr="Picture"/>
        <xdr:cNvPicPr/>
      </xdr:nvPicPr>
      <xdr:blipFill>
        <a:blip r:embed="rId306" cstate="print"/>
        <a:stretch>
          <a:fillRect/>
        </a:stretch>
      </xdr:blipFill>
      <xdr:spPr>
        <a:xfrm>
          <a:off x="0" y="213213950"/>
          <a:ext cx="619125" cy="676275"/>
        </a:xfrm>
        <a:prstGeom prst="rect">
          <a:avLst/>
        </a:prstGeom>
      </xdr:spPr>
    </xdr:pic>
  </etc:cellImage>
  <etc:cellImage>
    <xdr:pic>
      <xdr:nvPicPr>
        <xdr:cNvPr id="308" name="ID_4796868A77AA46579301F155B4E0FC2A" descr="Picture"/>
        <xdr:cNvPicPr/>
      </xdr:nvPicPr>
      <xdr:blipFill>
        <a:blip r:embed="rId307" cstate="print"/>
        <a:stretch>
          <a:fillRect/>
        </a:stretch>
      </xdr:blipFill>
      <xdr:spPr>
        <a:xfrm>
          <a:off x="0" y="213912450"/>
          <a:ext cx="619125" cy="676275"/>
        </a:xfrm>
        <a:prstGeom prst="rect">
          <a:avLst/>
        </a:prstGeom>
      </xdr:spPr>
    </xdr:pic>
  </etc:cellImage>
  <etc:cellImage>
    <xdr:pic>
      <xdr:nvPicPr>
        <xdr:cNvPr id="309" name="ID_B8D7B88928F544C5901B2E6D3C7FB13D" descr="Picture"/>
        <xdr:cNvPicPr/>
      </xdr:nvPicPr>
      <xdr:blipFill>
        <a:blip r:embed="rId308" cstate="print"/>
        <a:stretch>
          <a:fillRect/>
        </a:stretch>
      </xdr:blipFill>
      <xdr:spPr>
        <a:xfrm>
          <a:off x="0" y="214610950"/>
          <a:ext cx="619125" cy="676275"/>
        </a:xfrm>
        <a:prstGeom prst="rect">
          <a:avLst/>
        </a:prstGeom>
      </xdr:spPr>
    </xdr:pic>
  </etc:cellImage>
  <etc:cellImage>
    <xdr:pic>
      <xdr:nvPicPr>
        <xdr:cNvPr id="310" name="ID_F0464EE41A9542E3BDEC2C42924B9D0D" descr="Picture"/>
        <xdr:cNvPicPr/>
      </xdr:nvPicPr>
      <xdr:blipFill>
        <a:blip r:embed="rId309" cstate="print"/>
        <a:stretch>
          <a:fillRect/>
        </a:stretch>
      </xdr:blipFill>
      <xdr:spPr>
        <a:xfrm>
          <a:off x="0" y="215309450"/>
          <a:ext cx="619125" cy="676275"/>
        </a:xfrm>
        <a:prstGeom prst="rect">
          <a:avLst/>
        </a:prstGeom>
      </xdr:spPr>
    </xdr:pic>
  </etc:cellImage>
  <etc:cellImage>
    <xdr:pic>
      <xdr:nvPicPr>
        <xdr:cNvPr id="311" name="ID_A81DA34BBE5E4DD296CE700B34E49BA1" descr="Picture"/>
        <xdr:cNvPicPr/>
      </xdr:nvPicPr>
      <xdr:blipFill>
        <a:blip r:embed="rId310" cstate="print"/>
        <a:stretch>
          <a:fillRect/>
        </a:stretch>
      </xdr:blipFill>
      <xdr:spPr>
        <a:xfrm>
          <a:off x="0" y="216007950"/>
          <a:ext cx="619125" cy="676275"/>
        </a:xfrm>
        <a:prstGeom prst="rect">
          <a:avLst/>
        </a:prstGeom>
      </xdr:spPr>
    </xdr:pic>
  </etc:cellImage>
  <etc:cellImage>
    <xdr:pic>
      <xdr:nvPicPr>
        <xdr:cNvPr id="312" name="ID_500D700AA1264A26AEE67FBBD5102711" descr="Picture"/>
        <xdr:cNvPicPr/>
      </xdr:nvPicPr>
      <xdr:blipFill>
        <a:blip r:embed="rId311" cstate="print"/>
        <a:stretch>
          <a:fillRect/>
        </a:stretch>
      </xdr:blipFill>
      <xdr:spPr>
        <a:xfrm>
          <a:off x="0" y="216706450"/>
          <a:ext cx="619125" cy="676275"/>
        </a:xfrm>
        <a:prstGeom prst="rect">
          <a:avLst/>
        </a:prstGeom>
      </xdr:spPr>
    </xdr:pic>
  </etc:cellImage>
  <etc:cellImage>
    <xdr:pic>
      <xdr:nvPicPr>
        <xdr:cNvPr id="313" name="ID_DE34F7DE4E5D4B0C91F0E5F689B1A937" descr="Picture"/>
        <xdr:cNvPicPr/>
      </xdr:nvPicPr>
      <xdr:blipFill>
        <a:blip r:embed="rId312" cstate="print"/>
        <a:stretch>
          <a:fillRect/>
        </a:stretch>
      </xdr:blipFill>
      <xdr:spPr>
        <a:xfrm>
          <a:off x="0" y="217404950"/>
          <a:ext cx="619125" cy="676275"/>
        </a:xfrm>
        <a:prstGeom prst="rect">
          <a:avLst/>
        </a:prstGeom>
      </xdr:spPr>
    </xdr:pic>
  </etc:cellImage>
  <etc:cellImage>
    <xdr:pic>
      <xdr:nvPicPr>
        <xdr:cNvPr id="314" name="ID_66219748FB4E4BAE8CC567A135D871F9" descr="Picture"/>
        <xdr:cNvPicPr/>
      </xdr:nvPicPr>
      <xdr:blipFill>
        <a:blip r:embed="rId313" cstate="print"/>
        <a:stretch>
          <a:fillRect/>
        </a:stretch>
      </xdr:blipFill>
      <xdr:spPr>
        <a:xfrm>
          <a:off x="0" y="218103450"/>
          <a:ext cx="619125" cy="676275"/>
        </a:xfrm>
        <a:prstGeom prst="rect">
          <a:avLst/>
        </a:prstGeom>
      </xdr:spPr>
    </xdr:pic>
  </etc:cellImage>
  <etc:cellImage>
    <xdr:pic>
      <xdr:nvPicPr>
        <xdr:cNvPr id="315" name="ID_B712AE37269C4DF3A3856D0E48C11CD6" descr="Picture"/>
        <xdr:cNvPicPr/>
      </xdr:nvPicPr>
      <xdr:blipFill>
        <a:blip r:embed="rId314" cstate="print"/>
        <a:stretch>
          <a:fillRect/>
        </a:stretch>
      </xdr:blipFill>
      <xdr:spPr>
        <a:xfrm>
          <a:off x="0" y="218801950"/>
          <a:ext cx="619125" cy="676275"/>
        </a:xfrm>
        <a:prstGeom prst="rect">
          <a:avLst/>
        </a:prstGeom>
      </xdr:spPr>
    </xdr:pic>
  </etc:cellImage>
  <etc:cellImage>
    <xdr:pic>
      <xdr:nvPicPr>
        <xdr:cNvPr id="316" name="ID_B24B336F6579402C982D4E306637078F" descr="Picture"/>
        <xdr:cNvPicPr/>
      </xdr:nvPicPr>
      <xdr:blipFill>
        <a:blip r:embed="rId315" cstate="print"/>
        <a:stretch>
          <a:fillRect/>
        </a:stretch>
      </xdr:blipFill>
      <xdr:spPr>
        <a:xfrm>
          <a:off x="0" y="219500450"/>
          <a:ext cx="619125" cy="676275"/>
        </a:xfrm>
        <a:prstGeom prst="rect">
          <a:avLst/>
        </a:prstGeom>
      </xdr:spPr>
    </xdr:pic>
  </etc:cellImage>
  <etc:cellImage>
    <xdr:pic>
      <xdr:nvPicPr>
        <xdr:cNvPr id="317" name="ID_F471799727624293A907F21AC4925521" descr="Picture"/>
        <xdr:cNvPicPr/>
      </xdr:nvPicPr>
      <xdr:blipFill>
        <a:blip r:embed="rId316" cstate="print"/>
        <a:stretch>
          <a:fillRect/>
        </a:stretch>
      </xdr:blipFill>
      <xdr:spPr>
        <a:xfrm>
          <a:off x="0" y="220198950"/>
          <a:ext cx="619125" cy="676275"/>
        </a:xfrm>
        <a:prstGeom prst="rect">
          <a:avLst/>
        </a:prstGeom>
      </xdr:spPr>
    </xdr:pic>
  </etc:cellImage>
  <etc:cellImage>
    <xdr:pic>
      <xdr:nvPicPr>
        <xdr:cNvPr id="318" name="ID_93B9E4668E87487A892149C7D3D8C08B" descr="Picture"/>
        <xdr:cNvPicPr/>
      </xdr:nvPicPr>
      <xdr:blipFill>
        <a:blip r:embed="rId317" cstate="print"/>
        <a:stretch>
          <a:fillRect/>
        </a:stretch>
      </xdr:blipFill>
      <xdr:spPr>
        <a:xfrm>
          <a:off x="0" y="220897450"/>
          <a:ext cx="619125" cy="676275"/>
        </a:xfrm>
        <a:prstGeom prst="rect">
          <a:avLst/>
        </a:prstGeom>
      </xdr:spPr>
    </xdr:pic>
  </etc:cellImage>
  <etc:cellImage>
    <xdr:pic>
      <xdr:nvPicPr>
        <xdr:cNvPr id="319" name="ID_625F5F6BB506474CA9C50323AAF3D0D0" descr="Picture"/>
        <xdr:cNvPicPr/>
      </xdr:nvPicPr>
      <xdr:blipFill>
        <a:blip r:embed="rId318" cstate="print"/>
        <a:stretch>
          <a:fillRect/>
        </a:stretch>
      </xdr:blipFill>
      <xdr:spPr>
        <a:xfrm>
          <a:off x="0" y="221595950"/>
          <a:ext cx="619125" cy="676275"/>
        </a:xfrm>
        <a:prstGeom prst="rect">
          <a:avLst/>
        </a:prstGeom>
      </xdr:spPr>
    </xdr:pic>
  </etc:cellImage>
  <etc:cellImage>
    <xdr:pic>
      <xdr:nvPicPr>
        <xdr:cNvPr id="320" name="ID_867EEDF690FF4F819B5EA1BC8B5ED792" descr="Picture"/>
        <xdr:cNvPicPr/>
      </xdr:nvPicPr>
      <xdr:blipFill>
        <a:blip r:embed="rId319" cstate="print"/>
        <a:stretch>
          <a:fillRect/>
        </a:stretch>
      </xdr:blipFill>
      <xdr:spPr>
        <a:xfrm>
          <a:off x="0" y="222294450"/>
          <a:ext cx="619125" cy="676275"/>
        </a:xfrm>
        <a:prstGeom prst="rect">
          <a:avLst/>
        </a:prstGeom>
      </xdr:spPr>
    </xdr:pic>
  </etc:cellImage>
  <etc:cellImage>
    <xdr:pic>
      <xdr:nvPicPr>
        <xdr:cNvPr id="321" name="ID_D6C507A940A949F1A776AB3E1B077C2B" descr="Picture"/>
        <xdr:cNvPicPr/>
      </xdr:nvPicPr>
      <xdr:blipFill>
        <a:blip r:embed="rId320" cstate="print"/>
        <a:stretch>
          <a:fillRect/>
        </a:stretch>
      </xdr:blipFill>
      <xdr:spPr>
        <a:xfrm>
          <a:off x="0" y="222992950"/>
          <a:ext cx="619125" cy="676275"/>
        </a:xfrm>
        <a:prstGeom prst="rect">
          <a:avLst/>
        </a:prstGeom>
      </xdr:spPr>
    </xdr:pic>
  </etc:cellImage>
  <etc:cellImage>
    <xdr:pic>
      <xdr:nvPicPr>
        <xdr:cNvPr id="322" name="ID_C30E9131653C4E3DB36CEB0EC06F4B21" descr="Picture"/>
        <xdr:cNvPicPr/>
      </xdr:nvPicPr>
      <xdr:blipFill>
        <a:blip r:embed="rId321" cstate="print"/>
        <a:stretch>
          <a:fillRect/>
        </a:stretch>
      </xdr:blipFill>
      <xdr:spPr>
        <a:xfrm>
          <a:off x="0" y="223691450"/>
          <a:ext cx="619125" cy="676275"/>
        </a:xfrm>
        <a:prstGeom prst="rect">
          <a:avLst/>
        </a:prstGeom>
      </xdr:spPr>
    </xdr:pic>
  </etc:cellImage>
  <etc:cellImage>
    <xdr:pic>
      <xdr:nvPicPr>
        <xdr:cNvPr id="323" name="ID_D28DB736391A4C96939F254CEC14B3B8" descr="Picture"/>
        <xdr:cNvPicPr/>
      </xdr:nvPicPr>
      <xdr:blipFill>
        <a:blip r:embed="rId322" cstate="print"/>
        <a:stretch>
          <a:fillRect/>
        </a:stretch>
      </xdr:blipFill>
      <xdr:spPr>
        <a:xfrm>
          <a:off x="0" y="224389950"/>
          <a:ext cx="619125" cy="676275"/>
        </a:xfrm>
        <a:prstGeom prst="rect">
          <a:avLst/>
        </a:prstGeom>
      </xdr:spPr>
    </xdr:pic>
  </etc:cellImage>
  <etc:cellImage>
    <xdr:pic>
      <xdr:nvPicPr>
        <xdr:cNvPr id="324" name="ID_C5D13F9FD96E485C83A5CA1D727A35AC" descr="Picture"/>
        <xdr:cNvPicPr/>
      </xdr:nvPicPr>
      <xdr:blipFill>
        <a:blip r:embed="rId323" cstate="print"/>
        <a:stretch>
          <a:fillRect/>
        </a:stretch>
      </xdr:blipFill>
      <xdr:spPr>
        <a:xfrm>
          <a:off x="0" y="225088450"/>
          <a:ext cx="619125" cy="676275"/>
        </a:xfrm>
        <a:prstGeom prst="rect">
          <a:avLst/>
        </a:prstGeom>
      </xdr:spPr>
    </xdr:pic>
  </etc:cellImage>
  <etc:cellImage>
    <xdr:pic>
      <xdr:nvPicPr>
        <xdr:cNvPr id="325" name="ID_F9E620A2154C4A5E9A24510A1337E8F0" descr="Picture"/>
        <xdr:cNvPicPr/>
      </xdr:nvPicPr>
      <xdr:blipFill>
        <a:blip r:embed="rId324" cstate="print"/>
        <a:stretch>
          <a:fillRect/>
        </a:stretch>
      </xdr:blipFill>
      <xdr:spPr>
        <a:xfrm>
          <a:off x="0" y="225786950"/>
          <a:ext cx="619125" cy="676275"/>
        </a:xfrm>
        <a:prstGeom prst="rect">
          <a:avLst/>
        </a:prstGeom>
      </xdr:spPr>
    </xdr:pic>
  </etc:cellImage>
  <etc:cellImage>
    <xdr:pic>
      <xdr:nvPicPr>
        <xdr:cNvPr id="326" name="ID_78DFA0E35EC34F57AFF69EFB1879585E" descr="Picture"/>
        <xdr:cNvPicPr/>
      </xdr:nvPicPr>
      <xdr:blipFill>
        <a:blip r:embed="rId325" cstate="print"/>
        <a:stretch>
          <a:fillRect/>
        </a:stretch>
      </xdr:blipFill>
      <xdr:spPr>
        <a:xfrm>
          <a:off x="0" y="226485450"/>
          <a:ext cx="619125" cy="676275"/>
        </a:xfrm>
        <a:prstGeom prst="rect">
          <a:avLst/>
        </a:prstGeom>
      </xdr:spPr>
    </xdr:pic>
  </etc:cellImage>
  <etc:cellImage>
    <xdr:pic>
      <xdr:nvPicPr>
        <xdr:cNvPr id="327" name="ID_982D64542EDB4B79A12FFBAC061958A1" descr="Picture"/>
        <xdr:cNvPicPr/>
      </xdr:nvPicPr>
      <xdr:blipFill>
        <a:blip r:embed="rId326" cstate="print"/>
        <a:stretch>
          <a:fillRect/>
        </a:stretch>
      </xdr:blipFill>
      <xdr:spPr>
        <a:xfrm>
          <a:off x="0" y="227183950"/>
          <a:ext cx="619125" cy="676275"/>
        </a:xfrm>
        <a:prstGeom prst="rect">
          <a:avLst/>
        </a:prstGeom>
      </xdr:spPr>
    </xdr:pic>
  </etc:cellImage>
  <etc:cellImage>
    <xdr:pic>
      <xdr:nvPicPr>
        <xdr:cNvPr id="328" name="ID_9EAE2A224F04478EB19166A1DD612584" descr="Picture"/>
        <xdr:cNvPicPr/>
      </xdr:nvPicPr>
      <xdr:blipFill>
        <a:blip r:embed="rId327" cstate="print"/>
        <a:stretch>
          <a:fillRect/>
        </a:stretch>
      </xdr:blipFill>
      <xdr:spPr>
        <a:xfrm>
          <a:off x="0" y="227882450"/>
          <a:ext cx="619125" cy="676275"/>
        </a:xfrm>
        <a:prstGeom prst="rect">
          <a:avLst/>
        </a:prstGeom>
      </xdr:spPr>
    </xdr:pic>
  </etc:cellImage>
  <etc:cellImage>
    <xdr:pic>
      <xdr:nvPicPr>
        <xdr:cNvPr id="329" name="ID_2586697A0F404F5CAB8C571E4FAFC6BE" descr="Picture"/>
        <xdr:cNvPicPr/>
      </xdr:nvPicPr>
      <xdr:blipFill>
        <a:blip r:embed="rId328" cstate="print"/>
        <a:stretch>
          <a:fillRect/>
        </a:stretch>
      </xdr:blipFill>
      <xdr:spPr>
        <a:xfrm>
          <a:off x="0" y="228580950"/>
          <a:ext cx="619125" cy="676275"/>
        </a:xfrm>
        <a:prstGeom prst="rect">
          <a:avLst/>
        </a:prstGeom>
      </xdr:spPr>
    </xdr:pic>
  </etc:cellImage>
  <etc:cellImage>
    <xdr:pic>
      <xdr:nvPicPr>
        <xdr:cNvPr id="330" name="ID_9D3896E74E5149BB8F3B879B2BD471E0" descr="Picture"/>
        <xdr:cNvPicPr/>
      </xdr:nvPicPr>
      <xdr:blipFill>
        <a:blip r:embed="rId329" cstate="print"/>
        <a:stretch>
          <a:fillRect/>
        </a:stretch>
      </xdr:blipFill>
      <xdr:spPr>
        <a:xfrm>
          <a:off x="0" y="229279450"/>
          <a:ext cx="619125" cy="676275"/>
        </a:xfrm>
        <a:prstGeom prst="rect">
          <a:avLst/>
        </a:prstGeom>
      </xdr:spPr>
    </xdr:pic>
  </etc:cellImage>
  <etc:cellImage>
    <xdr:pic>
      <xdr:nvPicPr>
        <xdr:cNvPr id="331" name="ID_9F88A2B0C05B42558118BFA9650D8561" descr="Picture"/>
        <xdr:cNvPicPr/>
      </xdr:nvPicPr>
      <xdr:blipFill>
        <a:blip r:embed="rId330" cstate="print"/>
        <a:stretch>
          <a:fillRect/>
        </a:stretch>
      </xdr:blipFill>
      <xdr:spPr>
        <a:xfrm>
          <a:off x="0" y="229977950"/>
          <a:ext cx="619125" cy="676275"/>
        </a:xfrm>
        <a:prstGeom prst="rect">
          <a:avLst/>
        </a:prstGeom>
      </xdr:spPr>
    </xdr:pic>
  </etc:cellImage>
  <etc:cellImage>
    <xdr:pic>
      <xdr:nvPicPr>
        <xdr:cNvPr id="332" name="ID_CF57DE587D604920B77280BD458E02DC" descr="Picture"/>
        <xdr:cNvPicPr/>
      </xdr:nvPicPr>
      <xdr:blipFill>
        <a:blip r:embed="rId331" cstate="print"/>
        <a:stretch>
          <a:fillRect/>
        </a:stretch>
      </xdr:blipFill>
      <xdr:spPr>
        <a:xfrm>
          <a:off x="0" y="230676450"/>
          <a:ext cx="619125" cy="676275"/>
        </a:xfrm>
        <a:prstGeom prst="rect">
          <a:avLst/>
        </a:prstGeom>
      </xdr:spPr>
    </xdr:pic>
  </etc:cellImage>
  <etc:cellImage>
    <xdr:pic>
      <xdr:nvPicPr>
        <xdr:cNvPr id="333" name="ID_841C2B2E1CC347A9817BAF03D0A44689" descr="Picture"/>
        <xdr:cNvPicPr/>
      </xdr:nvPicPr>
      <xdr:blipFill>
        <a:blip r:embed="rId332" cstate="print"/>
        <a:stretch>
          <a:fillRect/>
        </a:stretch>
      </xdr:blipFill>
      <xdr:spPr>
        <a:xfrm>
          <a:off x="0" y="231374950"/>
          <a:ext cx="619125" cy="676275"/>
        </a:xfrm>
        <a:prstGeom prst="rect">
          <a:avLst/>
        </a:prstGeom>
      </xdr:spPr>
    </xdr:pic>
  </etc:cellImage>
  <etc:cellImage>
    <xdr:pic>
      <xdr:nvPicPr>
        <xdr:cNvPr id="334" name="ID_7D4D7AA4EC5E4449B4836637A56AF056" descr="Picture"/>
        <xdr:cNvPicPr/>
      </xdr:nvPicPr>
      <xdr:blipFill>
        <a:blip r:embed="rId333" cstate="print"/>
        <a:stretch>
          <a:fillRect/>
        </a:stretch>
      </xdr:blipFill>
      <xdr:spPr>
        <a:xfrm>
          <a:off x="0" y="232073450"/>
          <a:ext cx="619125" cy="676275"/>
        </a:xfrm>
        <a:prstGeom prst="rect">
          <a:avLst/>
        </a:prstGeom>
      </xdr:spPr>
    </xdr:pic>
  </etc:cellImage>
  <etc:cellImage>
    <xdr:pic>
      <xdr:nvPicPr>
        <xdr:cNvPr id="335" name="ID_81ADFC21FEB5495FBEFF38009CE9A44F" descr="Picture"/>
        <xdr:cNvPicPr/>
      </xdr:nvPicPr>
      <xdr:blipFill>
        <a:blip r:embed="rId334" cstate="print"/>
        <a:stretch>
          <a:fillRect/>
        </a:stretch>
      </xdr:blipFill>
      <xdr:spPr>
        <a:xfrm>
          <a:off x="0" y="232771950"/>
          <a:ext cx="619125" cy="676275"/>
        </a:xfrm>
        <a:prstGeom prst="rect">
          <a:avLst/>
        </a:prstGeom>
      </xdr:spPr>
    </xdr:pic>
  </etc:cellImage>
  <etc:cellImage>
    <xdr:pic>
      <xdr:nvPicPr>
        <xdr:cNvPr id="336" name="ID_D625C0FE97C54907BECE00F7D0B2931C" descr="Picture"/>
        <xdr:cNvPicPr/>
      </xdr:nvPicPr>
      <xdr:blipFill>
        <a:blip r:embed="rId335" cstate="print"/>
        <a:stretch>
          <a:fillRect/>
        </a:stretch>
      </xdr:blipFill>
      <xdr:spPr>
        <a:xfrm>
          <a:off x="0" y="233470450"/>
          <a:ext cx="619125" cy="676275"/>
        </a:xfrm>
        <a:prstGeom prst="rect">
          <a:avLst/>
        </a:prstGeom>
      </xdr:spPr>
    </xdr:pic>
  </etc:cellImage>
  <etc:cellImage>
    <xdr:pic>
      <xdr:nvPicPr>
        <xdr:cNvPr id="337" name="ID_78FCF941718548A897E3EA65E8A976C8" descr="Picture"/>
        <xdr:cNvPicPr/>
      </xdr:nvPicPr>
      <xdr:blipFill>
        <a:blip r:embed="rId336" cstate="print"/>
        <a:stretch>
          <a:fillRect/>
        </a:stretch>
      </xdr:blipFill>
      <xdr:spPr>
        <a:xfrm>
          <a:off x="0" y="234168950"/>
          <a:ext cx="619125" cy="676275"/>
        </a:xfrm>
        <a:prstGeom prst="rect">
          <a:avLst/>
        </a:prstGeom>
      </xdr:spPr>
    </xdr:pic>
  </etc:cellImage>
  <etc:cellImage>
    <xdr:pic>
      <xdr:nvPicPr>
        <xdr:cNvPr id="338" name="ID_00DE928EFB4742EB93B61E4BF0AE9E1C" descr="Picture"/>
        <xdr:cNvPicPr/>
      </xdr:nvPicPr>
      <xdr:blipFill>
        <a:blip r:embed="rId337" cstate="print"/>
        <a:stretch>
          <a:fillRect/>
        </a:stretch>
      </xdr:blipFill>
      <xdr:spPr>
        <a:xfrm>
          <a:off x="0" y="234867450"/>
          <a:ext cx="619125" cy="676275"/>
        </a:xfrm>
        <a:prstGeom prst="rect">
          <a:avLst/>
        </a:prstGeom>
      </xdr:spPr>
    </xdr:pic>
  </etc:cellImage>
  <etc:cellImage>
    <xdr:pic>
      <xdr:nvPicPr>
        <xdr:cNvPr id="339" name="ID_5801A8EB88394AB89FCE11B44B8B0B96" descr="Picture"/>
        <xdr:cNvPicPr/>
      </xdr:nvPicPr>
      <xdr:blipFill>
        <a:blip r:embed="rId338" cstate="print"/>
        <a:stretch>
          <a:fillRect/>
        </a:stretch>
      </xdr:blipFill>
      <xdr:spPr>
        <a:xfrm>
          <a:off x="0" y="235565950"/>
          <a:ext cx="619125" cy="676275"/>
        </a:xfrm>
        <a:prstGeom prst="rect">
          <a:avLst/>
        </a:prstGeom>
      </xdr:spPr>
    </xdr:pic>
  </etc:cellImage>
  <etc:cellImage>
    <xdr:pic>
      <xdr:nvPicPr>
        <xdr:cNvPr id="340" name="ID_57F641FC6CF043E79DC7507AA1BA774C" descr="Picture"/>
        <xdr:cNvPicPr/>
      </xdr:nvPicPr>
      <xdr:blipFill>
        <a:blip r:embed="rId339" cstate="print"/>
        <a:stretch>
          <a:fillRect/>
        </a:stretch>
      </xdr:blipFill>
      <xdr:spPr>
        <a:xfrm>
          <a:off x="0" y="236264450"/>
          <a:ext cx="619125" cy="676275"/>
        </a:xfrm>
        <a:prstGeom prst="rect">
          <a:avLst/>
        </a:prstGeom>
      </xdr:spPr>
    </xdr:pic>
  </etc:cellImage>
  <etc:cellImage>
    <xdr:pic>
      <xdr:nvPicPr>
        <xdr:cNvPr id="341" name="ID_DB91E62E8FFE4BE0BCC69EDA15B3C356" descr="Picture"/>
        <xdr:cNvPicPr/>
      </xdr:nvPicPr>
      <xdr:blipFill>
        <a:blip r:embed="rId340" cstate="print"/>
        <a:stretch>
          <a:fillRect/>
        </a:stretch>
      </xdr:blipFill>
      <xdr:spPr>
        <a:xfrm>
          <a:off x="0" y="236962950"/>
          <a:ext cx="619125" cy="676275"/>
        </a:xfrm>
        <a:prstGeom prst="rect">
          <a:avLst/>
        </a:prstGeom>
      </xdr:spPr>
    </xdr:pic>
  </etc:cellImage>
  <etc:cellImage>
    <xdr:pic>
      <xdr:nvPicPr>
        <xdr:cNvPr id="342" name="ID_7B8344BA1EC448C8BEC0FD28EAD98492" descr="Picture"/>
        <xdr:cNvPicPr/>
      </xdr:nvPicPr>
      <xdr:blipFill>
        <a:blip r:embed="rId341" cstate="print"/>
        <a:stretch>
          <a:fillRect/>
        </a:stretch>
      </xdr:blipFill>
      <xdr:spPr>
        <a:xfrm>
          <a:off x="0" y="237661450"/>
          <a:ext cx="619125" cy="676275"/>
        </a:xfrm>
        <a:prstGeom prst="rect">
          <a:avLst/>
        </a:prstGeom>
      </xdr:spPr>
    </xdr:pic>
  </etc:cellImage>
  <etc:cellImage>
    <xdr:pic>
      <xdr:nvPicPr>
        <xdr:cNvPr id="343" name="ID_4B4483A34F41472294E5A1DEEBAF192E" descr="Picture"/>
        <xdr:cNvPicPr/>
      </xdr:nvPicPr>
      <xdr:blipFill>
        <a:blip r:embed="rId342" cstate="print"/>
        <a:stretch>
          <a:fillRect/>
        </a:stretch>
      </xdr:blipFill>
      <xdr:spPr>
        <a:xfrm>
          <a:off x="0" y="238359950"/>
          <a:ext cx="619125" cy="676275"/>
        </a:xfrm>
        <a:prstGeom prst="rect">
          <a:avLst/>
        </a:prstGeom>
      </xdr:spPr>
    </xdr:pic>
  </etc:cellImage>
  <etc:cellImage>
    <xdr:pic>
      <xdr:nvPicPr>
        <xdr:cNvPr id="344" name="ID_B7CE26686EED4393A3EBB696DE5D12FB" descr="Picture"/>
        <xdr:cNvPicPr/>
      </xdr:nvPicPr>
      <xdr:blipFill>
        <a:blip r:embed="rId343" cstate="print"/>
        <a:stretch>
          <a:fillRect/>
        </a:stretch>
      </xdr:blipFill>
      <xdr:spPr>
        <a:xfrm>
          <a:off x="0" y="239058450"/>
          <a:ext cx="619125" cy="676275"/>
        </a:xfrm>
        <a:prstGeom prst="rect">
          <a:avLst/>
        </a:prstGeom>
      </xdr:spPr>
    </xdr:pic>
  </etc:cellImage>
  <etc:cellImage>
    <xdr:pic>
      <xdr:nvPicPr>
        <xdr:cNvPr id="345" name="ID_0A4D27AC5A6D4F5DA3D11CB3A17B63CC" descr="Picture"/>
        <xdr:cNvPicPr/>
      </xdr:nvPicPr>
      <xdr:blipFill>
        <a:blip r:embed="rId344" cstate="print"/>
        <a:stretch>
          <a:fillRect/>
        </a:stretch>
      </xdr:blipFill>
      <xdr:spPr>
        <a:xfrm>
          <a:off x="0" y="239756950"/>
          <a:ext cx="619125" cy="676275"/>
        </a:xfrm>
        <a:prstGeom prst="rect">
          <a:avLst/>
        </a:prstGeom>
      </xdr:spPr>
    </xdr:pic>
  </etc:cellImage>
  <etc:cellImage>
    <xdr:pic>
      <xdr:nvPicPr>
        <xdr:cNvPr id="346" name="ID_B66877CAE0F74D218BAA416495A2CD0B" descr="Picture"/>
        <xdr:cNvPicPr/>
      </xdr:nvPicPr>
      <xdr:blipFill>
        <a:blip r:embed="rId345" cstate="print"/>
        <a:stretch>
          <a:fillRect/>
        </a:stretch>
      </xdr:blipFill>
      <xdr:spPr>
        <a:xfrm>
          <a:off x="0" y="240455450"/>
          <a:ext cx="619125" cy="676275"/>
        </a:xfrm>
        <a:prstGeom prst="rect">
          <a:avLst/>
        </a:prstGeom>
      </xdr:spPr>
    </xdr:pic>
  </etc:cellImage>
  <etc:cellImage>
    <xdr:pic>
      <xdr:nvPicPr>
        <xdr:cNvPr id="347" name="ID_3F1864BEEBF94E07B3AD09F4710BDD1F" descr="Picture"/>
        <xdr:cNvPicPr/>
      </xdr:nvPicPr>
      <xdr:blipFill>
        <a:blip r:embed="rId346" cstate="print"/>
        <a:stretch>
          <a:fillRect/>
        </a:stretch>
      </xdr:blipFill>
      <xdr:spPr>
        <a:xfrm>
          <a:off x="0" y="241153950"/>
          <a:ext cx="619125" cy="676275"/>
        </a:xfrm>
        <a:prstGeom prst="rect">
          <a:avLst/>
        </a:prstGeom>
      </xdr:spPr>
    </xdr:pic>
  </etc:cellImage>
  <etc:cellImage>
    <xdr:pic>
      <xdr:nvPicPr>
        <xdr:cNvPr id="348" name="ID_D2416338DC9B49D49E804E7BE91AE51E" descr="Picture"/>
        <xdr:cNvPicPr/>
      </xdr:nvPicPr>
      <xdr:blipFill>
        <a:blip r:embed="rId347" cstate="print"/>
        <a:stretch>
          <a:fillRect/>
        </a:stretch>
      </xdr:blipFill>
      <xdr:spPr>
        <a:xfrm>
          <a:off x="0" y="241852450"/>
          <a:ext cx="619125" cy="676275"/>
        </a:xfrm>
        <a:prstGeom prst="rect">
          <a:avLst/>
        </a:prstGeom>
      </xdr:spPr>
    </xdr:pic>
  </etc:cellImage>
  <etc:cellImage>
    <xdr:pic>
      <xdr:nvPicPr>
        <xdr:cNvPr id="349" name="ID_63346FAA3F5A4E4798BF40B7A94C86A1" descr="Picture"/>
        <xdr:cNvPicPr/>
      </xdr:nvPicPr>
      <xdr:blipFill>
        <a:blip r:embed="rId348" cstate="print"/>
        <a:stretch>
          <a:fillRect/>
        </a:stretch>
      </xdr:blipFill>
      <xdr:spPr>
        <a:xfrm>
          <a:off x="0" y="242550950"/>
          <a:ext cx="619125" cy="676275"/>
        </a:xfrm>
        <a:prstGeom prst="rect">
          <a:avLst/>
        </a:prstGeom>
      </xdr:spPr>
    </xdr:pic>
  </etc:cellImage>
  <etc:cellImage>
    <xdr:pic>
      <xdr:nvPicPr>
        <xdr:cNvPr id="350" name="ID_A2BB739EC96A4922A1D187597A6BF51D" descr="Picture"/>
        <xdr:cNvPicPr/>
      </xdr:nvPicPr>
      <xdr:blipFill>
        <a:blip r:embed="rId349" cstate="print"/>
        <a:stretch>
          <a:fillRect/>
        </a:stretch>
      </xdr:blipFill>
      <xdr:spPr>
        <a:xfrm>
          <a:off x="0" y="243249450"/>
          <a:ext cx="619125" cy="676275"/>
        </a:xfrm>
        <a:prstGeom prst="rect">
          <a:avLst/>
        </a:prstGeom>
      </xdr:spPr>
    </xdr:pic>
  </etc:cellImage>
  <etc:cellImage>
    <xdr:pic>
      <xdr:nvPicPr>
        <xdr:cNvPr id="351" name="ID_0BC2F243AAC647309E9928DF8FDCECA6" descr="Picture"/>
        <xdr:cNvPicPr/>
      </xdr:nvPicPr>
      <xdr:blipFill>
        <a:blip r:embed="rId350" cstate="print"/>
        <a:stretch>
          <a:fillRect/>
        </a:stretch>
      </xdr:blipFill>
      <xdr:spPr>
        <a:xfrm>
          <a:off x="0" y="243947950"/>
          <a:ext cx="619125" cy="676275"/>
        </a:xfrm>
        <a:prstGeom prst="rect">
          <a:avLst/>
        </a:prstGeom>
      </xdr:spPr>
    </xdr:pic>
  </etc:cellImage>
  <etc:cellImage>
    <xdr:pic>
      <xdr:nvPicPr>
        <xdr:cNvPr id="352" name="ID_2D72D55888B24607958CE678336680CC" descr="Picture"/>
        <xdr:cNvPicPr/>
      </xdr:nvPicPr>
      <xdr:blipFill>
        <a:blip r:embed="rId351" cstate="print"/>
        <a:stretch>
          <a:fillRect/>
        </a:stretch>
      </xdr:blipFill>
      <xdr:spPr>
        <a:xfrm>
          <a:off x="0" y="244646450"/>
          <a:ext cx="619125" cy="676275"/>
        </a:xfrm>
        <a:prstGeom prst="rect">
          <a:avLst/>
        </a:prstGeom>
      </xdr:spPr>
    </xdr:pic>
  </etc:cellImage>
  <etc:cellImage>
    <xdr:pic>
      <xdr:nvPicPr>
        <xdr:cNvPr id="353" name="ID_0CF1E77D7EEB47579A6B6011B4C9C621" descr="Picture"/>
        <xdr:cNvPicPr/>
      </xdr:nvPicPr>
      <xdr:blipFill>
        <a:blip r:embed="rId352" cstate="print"/>
        <a:stretch>
          <a:fillRect/>
        </a:stretch>
      </xdr:blipFill>
      <xdr:spPr>
        <a:xfrm>
          <a:off x="0" y="245344950"/>
          <a:ext cx="619125" cy="676275"/>
        </a:xfrm>
        <a:prstGeom prst="rect">
          <a:avLst/>
        </a:prstGeom>
      </xdr:spPr>
    </xdr:pic>
  </etc:cellImage>
  <etc:cellImage>
    <xdr:pic>
      <xdr:nvPicPr>
        <xdr:cNvPr id="354" name="ID_927BE9F57D164122BF461400D256BACA" descr="Picture"/>
        <xdr:cNvPicPr/>
      </xdr:nvPicPr>
      <xdr:blipFill>
        <a:blip r:embed="rId353" cstate="print"/>
        <a:stretch>
          <a:fillRect/>
        </a:stretch>
      </xdr:blipFill>
      <xdr:spPr>
        <a:xfrm>
          <a:off x="0" y="246043450"/>
          <a:ext cx="619125" cy="676275"/>
        </a:xfrm>
        <a:prstGeom prst="rect">
          <a:avLst/>
        </a:prstGeom>
      </xdr:spPr>
    </xdr:pic>
  </etc:cellImage>
  <etc:cellImage>
    <xdr:pic>
      <xdr:nvPicPr>
        <xdr:cNvPr id="355" name="ID_8BC6185416BA43CAA394D6EEBC71B96A" descr="Picture"/>
        <xdr:cNvPicPr/>
      </xdr:nvPicPr>
      <xdr:blipFill>
        <a:blip r:embed="rId354" cstate="print"/>
        <a:stretch>
          <a:fillRect/>
        </a:stretch>
      </xdr:blipFill>
      <xdr:spPr>
        <a:xfrm>
          <a:off x="0" y="246741950"/>
          <a:ext cx="619125" cy="676275"/>
        </a:xfrm>
        <a:prstGeom prst="rect">
          <a:avLst/>
        </a:prstGeom>
      </xdr:spPr>
    </xdr:pic>
  </etc:cellImage>
  <etc:cellImage>
    <xdr:pic>
      <xdr:nvPicPr>
        <xdr:cNvPr id="356" name="ID_29095E977A7F40139FFB594F2CAE434C" descr="Picture"/>
        <xdr:cNvPicPr/>
      </xdr:nvPicPr>
      <xdr:blipFill>
        <a:blip r:embed="rId15" cstate="print"/>
        <a:stretch>
          <a:fillRect/>
        </a:stretch>
      </xdr:blipFill>
      <xdr:spPr>
        <a:xfrm>
          <a:off x="0" y="247440450"/>
          <a:ext cx="619125" cy="676275"/>
        </a:xfrm>
        <a:prstGeom prst="rect">
          <a:avLst/>
        </a:prstGeom>
      </xdr:spPr>
    </xdr:pic>
  </etc:cellImage>
  <etc:cellImage>
    <xdr:pic>
      <xdr:nvPicPr>
        <xdr:cNvPr id="357" name="ID_722876A95B13463FB7D8AD97648CFAE9" descr="Picture"/>
        <xdr:cNvPicPr/>
      </xdr:nvPicPr>
      <xdr:blipFill>
        <a:blip r:embed="rId355" cstate="print"/>
        <a:stretch>
          <a:fillRect/>
        </a:stretch>
      </xdr:blipFill>
      <xdr:spPr>
        <a:xfrm>
          <a:off x="0" y="248138950"/>
          <a:ext cx="619125" cy="676275"/>
        </a:xfrm>
        <a:prstGeom prst="rect">
          <a:avLst/>
        </a:prstGeom>
      </xdr:spPr>
    </xdr:pic>
  </etc:cellImage>
  <etc:cellImage>
    <xdr:pic>
      <xdr:nvPicPr>
        <xdr:cNvPr id="358" name="ID_B028E09745094B90AEB77336D4EC52A5" descr="Picture"/>
        <xdr:cNvPicPr/>
      </xdr:nvPicPr>
      <xdr:blipFill>
        <a:blip r:embed="rId356" cstate="print"/>
        <a:stretch>
          <a:fillRect/>
        </a:stretch>
      </xdr:blipFill>
      <xdr:spPr>
        <a:xfrm>
          <a:off x="0" y="248837450"/>
          <a:ext cx="619125" cy="676275"/>
        </a:xfrm>
        <a:prstGeom prst="rect">
          <a:avLst/>
        </a:prstGeom>
      </xdr:spPr>
    </xdr:pic>
  </etc:cellImage>
  <etc:cellImage>
    <xdr:pic>
      <xdr:nvPicPr>
        <xdr:cNvPr id="359" name="ID_C0CFFC9CC3B64C6CA014D2062AAC3554" descr="Picture"/>
        <xdr:cNvPicPr/>
      </xdr:nvPicPr>
      <xdr:blipFill>
        <a:blip r:embed="rId357" cstate="print"/>
        <a:stretch>
          <a:fillRect/>
        </a:stretch>
      </xdr:blipFill>
      <xdr:spPr>
        <a:xfrm>
          <a:off x="0" y="249535950"/>
          <a:ext cx="619125" cy="676275"/>
        </a:xfrm>
        <a:prstGeom prst="rect">
          <a:avLst/>
        </a:prstGeom>
      </xdr:spPr>
    </xdr:pic>
  </etc:cellImage>
  <etc:cellImage>
    <xdr:pic>
      <xdr:nvPicPr>
        <xdr:cNvPr id="360" name="ID_E3F22DE6A986430E8E9EE817825D0DF8" descr="Picture"/>
        <xdr:cNvPicPr/>
      </xdr:nvPicPr>
      <xdr:blipFill>
        <a:blip r:embed="rId358" cstate="print"/>
        <a:stretch>
          <a:fillRect/>
        </a:stretch>
      </xdr:blipFill>
      <xdr:spPr>
        <a:xfrm>
          <a:off x="0" y="250234450"/>
          <a:ext cx="619125" cy="676275"/>
        </a:xfrm>
        <a:prstGeom prst="rect">
          <a:avLst/>
        </a:prstGeom>
      </xdr:spPr>
    </xdr:pic>
  </etc:cellImage>
  <etc:cellImage>
    <xdr:pic>
      <xdr:nvPicPr>
        <xdr:cNvPr id="361" name="ID_4E7CFC3B9E2645FA8E896C0F885138E5" descr="Picture"/>
        <xdr:cNvPicPr/>
      </xdr:nvPicPr>
      <xdr:blipFill>
        <a:blip r:embed="rId359" cstate="print"/>
        <a:stretch>
          <a:fillRect/>
        </a:stretch>
      </xdr:blipFill>
      <xdr:spPr>
        <a:xfrm>
          <a:off x="0" y="250932950"/>
          <a:ext cx="619125" cy="676275"/>
        </a:xfrm>
        <a:prstGeom prst="rect">
          <a:avLst/>
        </a:prstGeom>
      </xdr:spPr>
    </xdr:pic>
  </etc:cellImage>
  <etc:cellImage>
    <xdr:pic>
      <xdr:nvPicPr>
        <xdr:cNvPr id="362" name="ID_6C0AF9708E8C42828C2D8CE2D36DC966" descr="Picture"/>
        <xdr:cNvPicPr/>
      </xdr:nvPicPr>
      <xdr:blipFill>
        <a:blip r:embed="rId360" cstate="print"/>
        <a:stretch>
          <a:fillRect/>
        </a:stretch>
      </xdr:blipFill>
      <xdr:spPr>
        <a:xfrm>
          <a:off x="0" y="251631450"/>
          <a:ext cx="619125" cy="676275"/>
        </a:xfrm>
        <a:prstGeom prst="rect">
          <a:avLst/>
        </a:prstGeom>
      </xdr:spPr>
    </xdr:pic>
  </etc:cellImage>
  <etc:cellImage>
    <xdr:pic>
      <xdr:nvPicPr>
        <xdr:cNvPr id="363" name="ID_586B6E66C1A6443680A356D6E78ABA09" descr="Picture"/>
        <xdr:cNvPicPr/>
      </xdr:nvPicPr>
      <xdr:blipFill>
        <a:blip r:embed="rId361" cstate="print"/>
        <a:stretch>
          <a:fillRect/>
        </a:stretch>
      </xdr:blipFill>
      <xdr:spPr>
        <a:xfrm>
          <a:off x="0" y="252329950"/>
          <a:ext cx="619125" cy="676275"/>
        </a:xfrm>
        <a:prstGeom prst="rect">
          <a:avLst/>
        </a:prstGeom>
      </xdr:spPr>
    </xdr:pic>
  </etc:cellImage>
  <etc:cellImage>
    <xdr:pic>
      <xdr:nvPicPr>
        <xdr:cNvPr id="364" name="ID_4E410772E9DE4E62947C0C124E975932" descr="Picture"/>
        <xdr:cNvPicPr/>
      </xdr:nvPicPr>
      <xdr:blipFill>
        <a:blip r:embed="rId362" cstate="print"/>
        <a:stretch>
          <a:fillRect/>
        </a:stretch>
      </xdr:blipFill>
      <xdr:spPr>
        <a:xfrm>
          <a:off x="0" y="253028450"/>
          <a:ext cx="619125" cy="676275"/>
        </a:xfrm>
        <a:prstGeom prst="rect">
          <a:avLst/>
        </a:prstGeom>
      </xdr:spPr>
    </xdr:pic>
  </etc:cellImage>
  <etc:cellImage>
    <xdr:pic>
      <xdr:nvPicPr>
        <xdr:cNvPr id="365" name="ID_68A88B0087D04E79BCB39E062D6E3518" descr="Picture"/>
        <xdr:cNvPicPr/>
      </xdr:nvPicPr>
      <xdr:blipFill>
        <a:blip r:embed="rId363" cstate="print"/>
        <a:stretch>
          <a:fillRect/>
        </a:stretch>
      </xdr:blipFill>
      <xdr:spPr>
        <a:xfrm>
          <a:off x="0" y="253726950"/>
          <a:ext cx="619125" cy="676275"/>
        </a:xfrm>
        <a:prstGeom prst="rect">
          <a:avLst/>
        </a:prstGeom>
      </xdr:spPr>
    </xdr:pic>
  </etc:cellImage>
  <etc:cellImage>
    <xdr:pic>
      <xdr:nvPicPr>
        <xdr:cNvPr id="366" name="ID_6D0BFDD4124347CA98556DF9B4B7F488" descr="Picture"/>
        <xdr:cNvPicPr/>
      </xdr:nvPicPr>
      <xdr:blipFill>
        <a:blip r:embed="rId364" cstate="print"/>
        <a:stretch>
          <a:fillRect/>
        </a:stretch>
      </xdr:blipFill>
      <xdr:spPr>
        <a:xfrm>
          <a:off x="0" y="254425450"/>
          <a:ext cx="619125" cy="676275"/>
        </a:xfrm>
        <a:prstGeom prst="rect">
          <a:avLst/>
        </a:prstGeom>
      </xdr:spPr>
    </xdr:pic>
  </etc:cellImage>
  <etc:cellImage>
    <xdr:pic>
      <xdr:nvPicPr>
        <xdr:cNvPr id="367" name="ID_1BCC423F91564DB4B411DE821EAC9FCC" descr="Picture"/>
        <xdr:cNvPicPr/>
      </xdr:nvPicPr>
      <xdr:blipFill>
        <a:blip r:embed="rId365" cstate="print"/>
        <a:stretch>
          <a:fillRect/>
        </a:stretch>
      </xdr:blipFill>
      <xdr:spPr>
        <a:xfrm>
          <a:off x="0" y="255123950"/>
          <a:ext cx="619125" cy="676275"/>
        </a:xfrm>
        <a:prstGeom prst="rect">
          <a:avLst/>
        </a:prstGeom>
      </xdr:spPr>
    </xdr:pic>
  </etc:cellImage>
  <etc:cellImage>
    <xdr:pic>
      <xdr:nvPicPr>
        <xdr:cNvPr id="368" name="ID_0EBBB4D2C8574D2EA02805E0331A76C9" descr="Picture"/>
        <xdr:cNvPicPr/>
      </xdr:nvPicPr>
      <xdr:blipFill>
        <a:blip r:embed="rId366" cstate="print"/>
        <a:stretch>
          <a:fillRect/>
        </a:stretch>
      </xdr:blipFill>
      <xdr:spPr>
        <a:xfrm>
          <a:off x="0" y="255822450"/>
          <a:ext cx="619125" cy="676275"/>
        </a:xfrm>
        <a:prstGeom prst="rect">
          <a:avLst/>
        </a:prstGeom>
      </xdr:spPr>
    </xdr:pic>
  </etc:cellImage>
  <etc:cellImage>
    <xdr:pic>
      <xdr:nvPicPr>
        <xdr:cNvPr id="369" name="ID_56F8932EB2CD4B70BC59EEC2ECD44514" descr="Picture"/>
        <xdr:cNvPicPr/>
      </xdr:nvPicPr>
      <xdr:blipFill>
        <a:blip r:embed="rId367" cstate="print"/>
        <a:stretch>
          <a:fillRect/>
        </a:stretch>
      </xdr:blipFill>
      <xdr:spPr>
        <a:xfrm>
          <a:off x="0" y="256520950"/>
          <a:ext cx="619125" cy="676275"/>
        </a:xfrm>
        <a:prstGeom prst="rect">
          <a:avLst/>
        </a:prstGeom>
      </xdr:spPr>
    </xdr:pic>
  </etc:cellImage>
  <etc:cellImage>
    <xdr:pic>
      <xdr:nvPicPr>
        <xdr:cNvPr id="370" name="ID_64930B26B2B94A82B1FE3943DFC72072" descr="Picture"/>
        <xdr:cNvPicPr/>
      </xdr:nvPicPr>
      <xdr:blipFill>
        <a:blip r:embed="rId368" cstate="print"/>
        <a:stretch>
          <a:fillRect/>
        </a:stretch>
      </xdr:blipFill>
      <xdr:spPr>
        <a:xfrm>
          <a:off x="0" y="257219450"/>
          <a:ext cx="619125" cy="676275"/>
        </a:xfrm>
        <a:prstGeom prst="rect">
          <a:avLst/>
        </a:prstGeom>
      </xdr:spPr>
    </xdr:pic>
  </etc:cellImage>
  <etc:cellImage>
    <xdr:pic>
      <xdr:nvPicPr>
        <xdr:cNvPr id="371" name="ID_56827CFD4D4F441A88F2351C259E7B7F" descr="Picture"/>
        <xdr:cNvPicPr/>
      </xdr:nvPicPr>
      <xdr:blipFill>
        <a:blip r:embed="rId369" cstate="print"/>
        <a:stretch>
          <a:fillRect/>
        </a:stretch>
      </xdr:blipFill>
      <xdr:spPr>
        <a:xfrm>
          <a:off x="0" y="257917950"/>
          <a:ext cx="619125" cy="676275"/>
        </a:xfrm>
        <a:prstGeom prst="rect">
          <a:avLst/>
        </a:prstGeom>
      </xdr:spPr>
    </xdr:pic>
  </etc:cellImage>
  <etc:cellImage>
    <xdr:pic>
      <xdr:nvPicPr>
        <xdr:cNvPr id="372" name="ID_9EBEAE04293340C58872663A95009CE7" descr="Picture"/>
        <xdr:cNvPicPr/>
      </xdr:nvPicPr>
      <xdr:blipFill>
        <a:blip r:embed="rId370" cstate="print"/>
        <a:stretch>
          <a:fillRect/>
        </a:stretch>
      </xdr:blipFill>
      <xdr:spPr>
        <a:xfrm>
          <a:off x="0" y="258616450"/>
          <a:ext cx="619125" cy="676275"/>
        </a:xfrm>
        <a:prstGeom prst="rect">
          <a:avLst/>
        </a:prstGeom>
      </xdr:spPr>
    </xdr:pic>
  </etc:cellImage>
  <etc:cellImage>
    <xdr:pic>
      <xdr:nvPicPr>
        <xdr:cNvPr id="373" name="ID_DBBBF1C6827E49529DBFEF39C29C0CB1" descr="Picture"/>
        <xdr:cNvPicPr/>
      </xdr:nvPicPr>
      <xdr:blipFill>
        <a:blip r:embed="rId371" cstate="print"/>
        <a:stretch>
          <a:fillRect/>
        </a:stretch>
      </xdr:blipFill>
      <xdr:spPr>
        <a:xfrm>
          <a:off x="0" y="259314950"/>
          <a:ext cx="619125" cy="676275"/>
        </a:xfrm>
        <a:prstGeom prst="rect">
          <a:avLst/>
        </a:prstGeom>
      </xdr:spPr>
    </xdr:pic>
  </etc:cellImage>
  <etc:cellImage>
    <xdr:pic>
      <xdr:nvPicPr>
        <xdr:cNvPr id="374" name="ID_088458286E7647E1A46CF04189D89CCF" descr="Picture"/>
        <xdr:cNvPicPr/>
      </xdr:nvPicPr>
      <xdr:blipFill>
        <a:blip r:embed="rId372" cstate="print"/>
        <a:stretch>
          <a:fillRect/>
        </a:stretch>
      </xdr:blipFill>
      <xdr:spPr>
        <a:xfrm>
          <a:off x="0" y="260013450"/>
          <a:ext cx="619125" cy="676275"/>
        </a:xfrm>
        <a:prstGeom prst="rect">
          <a:avLst/>
        </a:prstGeom>
      </xdr:spPr>
    </xdr:pic>
  </etc:cellImage>
  <etc:cellImage>
    <xdr:pic>
      <xdr:nvPicPr>
        <xdr:cNvPr id="375" name="ID_9A161D15B2084506A694047D75B1ABA5" descr="Picture"/>
        <xdr:cNvPicPr/>
      </xdr:nvPicPr>
      <xdr:blipFill>
        <a:blip r:embed="rId373" cstate="print"/>
        <a:stretch>
          <a:fillRect/>
        </a:stretch>
      </xdr:blipFill>
      <xdr:spPr>
        <a:xfrm>
          <a:off x="0" y="260711950"/>
          <a:ext cx="619125" cy="676275"/>
        </a:xfrm>
        <a:prstGeom prst="rect">
          <a:avLst/>
        </a:prstGeom>
      </xdr:spPr>
    </xdr:pic>
  </etc:cellImage>
  <etc:cellImage>
    <xdr:pic>
      <xdr:nvPicPr>
        <xdr:cNvPr id="376" name="ID_E954D739A184484B83569D64FF8EC9C7" descr="Picture"/>
        <xdr:cNvPicPr/>
      </xdr:nvPicPr>
      <xdr:blipFill>
        <a:blip r:embed="rId374" cstate="print"/>
        <a:stretch>
          <a:fillRect/>
        </a:stretch>
      </xdr:blipFill>
      <xdr:spPr>
        <a:xfrm>
          <a:off x="0" y="261410450"/>
          <a:ext cx="619125" cy="676275"/>
        </a:xfrm>
        <a:prstGeom prst="rect">
          <a:avLst/>
        </a:prstGeom>
      </xdr:spPr>
    </xdr:pic>
  </etc:cellImage>
  <etc:cellImage>
    <xdr:pic>
      <xdr:nvPicPr>
        <xdr:cNvPr id="377" name="ID_5BD355B41DA54494A95555D48D31429E" descr="Picture"/>
        <xdr:cNvPicPr/>
      </xdr:nvPicPr>
      <xdr:blipFill>
        <a:blip r:embed="rId375" cstate="print"/>
        <a:stretch>
          <a:fillRect/>
        </a:stretch>
      </xdr:blipFill>
      <xdr:spPr>
        <a:xfrm>
          <a:off x="0" y="262108950"/>
          <a:ext cx="619125" cy="676275"/>
        </a:xfrm>
        <a:prstGeom prst="rect">
          <a:avLst/>
        </a:prstGeom>
      </xdr:spPr>
    </xdr:pic>
  </etc:cellImage>
  <etc:cellImage>
    <xdr:pic>
      <xdr:nvPicPr>
        <xdr:cNvPr id="378" name="ID_0BE3406C13BF4D83ABAF05439C9C71FE" descr="Picture"/>
        <xdr:cNvPicPr/>
      </xdr:nvPicPr>
      <xdr:blipFill>
        <a:blip r:embed="rId376" cstate="print"/>
        <a:stretch>
          <a:fillRect/>
        </a:stretch>
      </xdr:blipFill>
      <xdr:spPr>
        <a:xfrm>
          <a:off x="0" y="262807450"/>
          <a:ext cx="619125" cy="676275"/>
        </a:xfrm>
        <a:prstGeom prst="rect">
          <a:avLst/>
        </a:prstGeom>
      </xdr:spPr>
    </xdr:pic>
  </etc:cellImage>
  <etc:cellImage>
    <xdr:pic>
      <xdr:nvPicPr>
        <xdr:cNvPr id="379" name="ID_A2024E94F7C448D295B7547F7E005280" descr="Picture"/>
        <xdr:cNvPicPr/>
      </xdr:nvPicPr>
      <xdr:blipFill>
        <a:blip r:embed="rId377" cstate="print"/>
        <a:stretch>
          <a:fillRect/>
        </a:stretch>
      </xdr:blipFill>
      <xdr:spPr>
        <a:xfrm>
          <a:off x="0" y="263505950"/>
          <a:ext cx="619125" cy="676275"/>
        </a:xfrm>
        <a:prstGeom prst="rect">
          <a:avLst/>
        </a:prstGeom>
      </xdr:spPr>
    </xdr:pic>
  </etc:cellImage>
  <etc:cellImage>
    <xdr:pic>
      <xdr:nvPicPr>
        <xdr:cNvPr id="380" name="ID_6E85A4EE67204E7F99BB8D309CE91CB3" descr="Picture"/>
        <xdr:cNvPicPr/>
      </xdr:nvPicPr>
      <xdr:blipFill>
        <a:blip r:embed="rId378" cstate="print"/>
        <a:stretch>
          <a:fillRect/>
        </a:stretch>
      </xdr:blipFill>
      <xdr:spPr>
        <a:xfrm>
          <a:off x="0" y="264204450"/>
          <a:ext cx="619125" cy="676275"/>
        </a:xfrm>
        <a:prstGeom prst="rect">
          <a:avLst/>
        </a:prstGeom>
      </xdr:spPr>
    </xdr:pic>
  </etc:cellImage>
  <etc:cellImage>
    <xdr:pic>
      <xdr:nvPicPr>
        <xdr:cNvPr id="381" name="ID_4174538D4B9F40D1A7DDF7FDDED839E6" descr="Picture"/>
        <xdr:cNvPicPr/>
      </xdr:nvPicPr>
      <xdr:blipFill>
        <a:blip r:embed="rId379" cstate="print"/>
        <a:stretch>
          <a:fillRect/>
        </a:stretch>
      </xdr:blipFill>
      <xdr:spPr>
        <a:xfrm>
          <a:off x="0" y="264902950"/>
          <a:ext cx="619125" cy="676275"/>
        </a:xfrm>
        <a:prstGeom prst="rect">
          <a:avLst/>
        </a:prstGeom>
      </xdr:spPr>
    </xdr:pic>
  </etc:cellImage>
  <etc:cellImage>
    <xdr:pic>
      <xdr:nvPicPr>
        <xdr:cNvPr id="382" name="ID_BD1919F17D534E9BB0481710E952D5CF" descr="Picture"/>
        <xdr:cNvPicPr/>
      </xdr:nvPicPr>
      <xdr:blipFill>
        <a:blip r:embed="rId380" cstate="print"/>
        <a:stretch>
          <a:fillRect/>
        </a:stretch>
      </xdr:blipFill>
      <xdr:spPr>
        <a:xfrm>
          <a:off x="0" y="265601450"/>
          <a:ext cx="619125" cy="676275"/>
        </a:xfrm>
        <a:prstGeom prst="rect">
          <a:avLst/>
        </a:prstGeom>
      </xdr:spPr>
    </xdr:pic>
  </etc:cellImage>
  <etc:cellImage>
    <xdr:pic>
      <xdr:nvPicPr>
        <xdr:cNvPr id="383" name="ID_19D4E743ACA043AA9CB4D3FDEB3D4084" descr="Picture"/>
        <xdr:cNvPicPr/>
      </xdr:nvPicPr>
      <xdr:blipFill>
        <a:blip r:embed="rId381" cstate="print"/>
        <a:stretch>
          <a:fillRect/>
        </a:stretch>
      </xdr:blipFill>
      <xdr:spPr>
        <a:xfrm>
          <a:off x="0" y="266299950"/>
          <a:ext cx="619125" cy="676275"/>
        </a:xfrm>
        <a:prstGeom prst="rect">
          <a:avLst/>
        </a:prstGeom>
      </xdr:spPr>
    </xdr:pic>
  </etc:cellImage>
  <etc:cellImage>
    <xdr:pic>
      <xdr:nvPicPr>
        <xdr:cNvPr id="384" name="ID_B1A04AEE6ED641C78FFEE16917513486" descr="Picture"/>
        <xdr:cNvPicPr/>
      </xdr:nvPicPr>
      <xdr:blipFill>
        <a:blip r:embed="rId382" cstate="print"/>
        <a:stretch>
          <a:fillRect/>
        </a:stretch>
      </xdr:blipFill>
      <xdr:spPr>
        <a:xfrm>
          <a:off x="0" y="266998450"/>
          <a:ext cx="619125" cy="676275"/>
        </a:xfrm>
        <a:prstGeom prst="rect">
          <a:avLst/>
        </a:prstGeom>
      </xdr:spPr>
    </xdr:pic>
  </etc:cellImage>
  <etc:cellImage>
    <xdr:pic>
      <xdr:nvPicPr>
        <xdr:cNvPr id="385" name="ID_3700E424F551482E9D613DB8BA8C8BAE" descr="Picture"/>
        <xdr:cNvPicPr/>
      </xdr:nvPicPr>
      <xdr:blipFill>
        <a:blip r:embed="rId383" cstate="print"/>
        <a:stretch>
          <a:fillRect/>
        </a:stretch>
      </xdr:blipFill>
      <xdr:spPr>
        <a:xfrm>
          <a:off x="0" y="267696950"/>
          <a:ext cx="619125" cy="676275"/>
        </a:xfrm>
        <a:prstGeom prst="rect">
          <a:avLst/>
        </a:prstGeom>
      </xdr:spPr>
    </xdr:pic>
  </etc:cellImage>
  <etc:cellImage>
    <xdr:pic>
      <xdr:nvPicPr>
        <xdr:cNvPr id="386" name="ID_AE7EDDC671774CEE8E1E74B823421205" descr="Picture"/>
        <xdr:cNvPicPr/>
      </xdr:nvPicPr>
      <xdr:blipFill>
        <a:blip r:embed="rId384" cstate="print"/>
        <a:stretch>
          <a:fillRect/>
        </a:stretch>
      </xdr:blipFill>
      <xdr:spPr>
        <a:xfrm>
          <a:off x="0" y="268395450"/>
          <a:ext cx="619125" cy="676275"/>
        </a:xfrm>
        <a:prstGeom prst="rect">
          <a:avLst/>
        </a:prstGeom>
      </xdr:spPr>
    </xdr:pic>
  </etc:cellImage>
  <etc:cellImage>
    <xdr:pic>
      <xdr:nvPicPr>
        <xdr:cNvPr id="387" name="ID_B697F0533BD34D6F98169C83041727CE" descr="Picture"/>
        <xdr:cNvPicPr/>
      </xdr:nvPicPr>
      <xdr:blipFill>
        <a:blip r:embed="rId385" cstate="print"/>
        <a:stretch>
          <a:fillRect/>
        </a:stretch>
      </xdr:blipFill>
      <xdr:spPr>
        <a:xfrm>
          <a:off x="0" y="269093950"/>
          <a:ext cx="619125" cy="676275"/>
        </a:xfrm>
        <a:prstGeom prst="rect">
          <a:avLst/>
        </a:prstGeom>
      </xdr:spPr>
    </xdr:pic>
  </etc:cellImage>
  <etc:cellImage>
    <xdr:pic>
      <xdr:nvPicPr>
        <xdr:cNvPr id="388" name="ID_956449C42D684241B4DEF7B4EAE915F1" descr="Picture"/>
        <xdr:cNvPicPr/>
      </xdr:nvPicPr>
      <xdr:blipFill>
        <a:blip r:embed="rId386" cstate="print"/>
        <a:stretch>
          <a:fillRect/>
        </a:stretch>
      </xdr:blipFill>
      <xdr:spPr>
        <a:xfrm>
          <a:off x="0" y="269792450"/>
          <a:ext cx="619125" cy="676275"/>
        </a:xfrm>
        <a:prstGeom prst="rect">
          <a:avLst/>
        </a:prstGeom>
      </xdr:spPr>
    </xdr:pic>
  </etc:cellImage>
  <etc:cellImage>
    <xdr:pic>
      <xdr:nvPicPr>
        <xdr:cNvPr id="389" name="ID_5B08C2F751824BB9A9726F6477F34B63" descr="Picture"/>
        <xdr:cNvPicPr/>
      </xdr:nvPicPr>
      <xdr:blipFill>
        <a:blip r:embed="rId387" cstate="print"/>
        <a:stretch>
          <a:fillRect/>
        </a:stretch>
      </xdr:blipFill>
      <xdr:spPr>
        <a:xfrm>
          <a:off x="0" y="270490950"/>
          <a:ext cx="619125" cy="676275"/>
        </a:xfrm>
        <a:prstGeom prst="rect">
          <a:avLst/>
        </a:prstGeom>
      </xdr:spPr>
    </xdr:pic>
  </etc:cellImage>
  <etc:cellImage>
    <xdr:pic>
      <xdr:nvPicPr>
        <xdr:cNvPr id="390" name="ID_3CA23AFB9F0D412AB1A09C16C1F3E098" descr="Picture"/>
        <xdr:cNvPicPr/>
      </xdr:nvPicPr>
      <xdr:blipFill>
        <a:blip r:embed="rId388" cstate="print"/>
        <a:stretch>
          <a:fillRect/>
        </a:stretch>
      </xdr:blipFill>
      <xdr:spPr>
        <a:xfrm>
          <a:off x="0" y="271189450"/>
          <a:ext cx="619125" cy="676275"/>
        </a:xfrm>
        <a:prstGeom prst="rect">
          <a:avLst/>
        </a:prstGeom>
      </xdr:spPr>
    </xdr:pic>
  </etc:cellImage>
  <etc:cellImage>
    <xdr:pic>
      <xdr:nvPicPr>
        <xdr:cNvPr id="391" name="ID_7824C68D3D2943158A35BC8D67A63065" descr="Picture"/>
        <xdr:cNvPicPr/>
      </xdr:nvPicPr>
      <xdr:blipFill>
        <a:blip r:embed="rId389" cstate="print"/>
        <a:stretch>
          <a:fillRect/>
        </a:stretch>
      </xdr:blipFill>
      <xdr:spPr>
        <a:xfrm>
          <a:off x="0" y="271887950"/>
          <a:ext cx="619125" cy="676275"/>
        </a:xfrm>
        <a:prstGeom prst="rect">
          <a:avLst/>
        </a:prstGeom>
      </xdr:spPr>
    </xdr:pic>
  </etc:cellImage>
  <etc:cellImage>
    <xdr:pic>
      <xdr:nvPicPr>
        <xdr:cNvPr id="392" name="ID_05E8925AAB244C96888491FF0782C4D4" descr="Picture"/>
        <xdr:cNvPicPr/>
      </xdr:nvPicPr>
      <xdr:blipFill>
        <a:blip r:embed="rId390" cstate="print"/>
        <a:stretch>
          <a:fillRect/>
        </a:stretch>
      </xdr:blipFill>
      <xdr:spPr>
        <a:xfrm>
          <a:off x="0" y="272586450"/>
          <a:ext cx="619125" cy="676275"/>
        </a:xfrm>
        <a:prstGeom prst="rect">
          <a:avLst/>
        </a:prstGeom>
      </xdr:spPr>
    </xdr:pic>
  </etc:cellImage>
  <etc:cellImage>
    <xdr:pic>
      <xdr:nvPicPr>
        <xdr:cNvPr id="393" name="ID_1F342456D8C84078B424A4EF11050925" descr="Picture"/>
        <xdr:cNvPicPr/>
      </xdr:nvPicPr>
      <xdr:blipFill>
        <a:blip r:embed="rId391" cstate="print"/>
        <a:stretch>
          <a:fillRect/>
        </a:stretch>
      </xdr:blipFill>
      <xdr:spPr>
        <a:xfrm>
          <a:off x="0" y="273284950"/>
          <a:ext cx="619125" cy="676275"/>
        </a:xfrm>
        <a:prstGeom prst="rect">
          <a:avLst/>
        </a:prstGeom>
      </xdr:spPr>
    </xdr:pic>
  </etc:cellImage>
  <etc:cellImage>
    <xdr:pic>
      <xdr:nvPicPr>
        <xdr:cNvPr id="394" name="ID_439350754C0D4422A146FE31C4365985" descr="Picture"/>
        <xdr:cNvPicPr/>
      </xdr:nvPicPr>
      <xdr:blipFill>
        <a:blip r:embed="rId392" cstate="print"/>
        <a:stretch>
          <a:fillRect/>
        </a:stretch>
      </xdr:blipFill>
      <xdr:spPr>
        <a:xfrm>
          <a:off x="0" y="273983450"/>
          <a:ext cx="619125" cy="676275"/>
        </a:xfrm>
        <a:prstGeom prst="rect">
          <a:avLst/>
        </a:prstGeom>
      </xdr:spPr>
    </xdr:pic>
  </etc:cellImage>
  <etc:cellImage>
    <xdr:pic>
      <xdr:nvPicPr>
        <xdr:cNvPr id="395" name="ID_876DAD50BD3F434E9FD11A9AF08AE60A" descr="Picture"/>
        <xdr:cNvPicPr/>
      </xdr:nvPicPr>
      <xdr:blipFill>
        <a:blip r:embed="rId393" cstate="print"/>
        <a:stretch>
          <a:fillRect/>
        </a:stretch>
      </xdr:blipFill>
      <xdr:spPr>
        <a:xfrm>
          <a:off x="0" y="274681950"/>
          <a:ext cx="619125" cy="676275"/>
        </a:xfrm>
        <a:prstGeom prst="rect">
          <a:avLst/>
        </a:prstGeom>
      </xdr:spPr>
    </xdr:pic>
  </etc:cellImage>
  <etc:cellImage>
    <xdr:pic>
      <xdr:nvPicPr>
        <xdr:cNvPr id="396" name="ID_B80BB62459E2427FBAF67CEE0B045CCD" descr="Picture"/>
        <xdr:cNvPicPr/>
      </xdr:nvPicPr>
      <xdr:blipFill>
        <a:blip r:embed="rId394" cstate="print"/>
        <a:stretch>
          <a:fillRect/>
        </a:stretch>
      </xdr:blipFill>
      <xdr:spPr>
        <a:xfrm>
          <a:off x="0" y="275380450"/>
          <a:ext cx="619125" cy="676275"/>
        </a:xfrm>
        <a:prstGeom prst="rect">
          <a:avLst/>
        </a:prstGeom>
      </xdr:spPr>
    </xdr:pic>
  </etc:cellImage>
  <etc:cellImage>
    <xdr:pic>
      <xdr:nvPicPr>
        <xdr:cNvPr id="397" name="ID_EF1024914DDA4796B715FC09E70F3912" descr="Picture"/>
        <xdr:cNvPicPr/>
      </xdr:nvPicPr>
      <xdr:blipFill>
        <a:blip r:embed="rId395" cstate="print"/>
        <a:stretch>
          <a:fillRect/>
        </a:stretch>
      </xdr:blipFill>
      <xdr:spPr>
        <a:xfrm>
          <a:off x="0" y="276078950"/>
          <a:ext cx="619125" cy="676275"/>
        </a:xfrm>
        <a:prstGeom prst="rect">
          <a:avLst/>
        </a:prstGeom>
      </xdr:spPr>
    </xdr:pic>
  </etc:cellImage>
  <etc:cellImage>
    <xdr:pic>
      <xdr:nvPicPr>
        <xdr:cNvPr id="398" name="ID_93E502857DF44FB5BB1C20A1B554AA60" descr="Picture"/>
        <xdr:cNvPicPr/>
      </xdr:nvPicPr>
      <xdr:blipFill>
        <a:blip r:embed="rId396" cstate="print"/>
        <a:stretch>
          <a:fillRect/>
        </a:stretch>
      </xdr:blipFill>
      <xdr:spPr>
        <a:xfrm>
          <a:off x="0" y="276777450"/>
          <a:ext cx="619125" cy="676275"/>
        </a:xfrm>
        <a:prstGeom prst="rect">
          <a:avLst/>
        </a:prstGeom>
      </xdr:spPr>
    </xdr:pic>
  </etc:cellImage>
  <etc:cellImage>
    <xdr:pic>
      <xdr:nvPicPr>
        <xdr:cNvPr id="399" name="ID_DFF6739CC15F4D6EB110B43D2C927CFF" descr="Picture"/>
        <xdr:cNvPicPr/>
      </xdr:nvPicPr>
      <xdr:blipFill>
        <a:blip r:embed="rId397" cstate="print"/>
        <a:stretch>
          <a:fillRect/>
        </a:stretch>
      </xdr:blipFill>
      <xdr:spPr>
        <a:xfrm>
          <a:off x="0" y="277475950"/>
          <a:ext cx="619125" cy="676275"/>
        </a:xfrm>
        <a:prstGeom prst="rect">
          <a:avLst/>
        </a:prstGeom>
      </xdr:spPr>
    </xdr:pic>
  </etc:cellImage>
  <etc:cellImage>
    <xdr:pic>
      <xdr:nvPicPr>
        <xdr:cNvPr id="400" name="ID_02A6DC35DBE14BE082E3B9DE86B04BD9" descr="Picture"/>
        <xdr:cNvPicPr/>
      </xdr:nvPicPr>
      <xdr:blipFill>
        <a:blip r:embed="rId398" cstate="print"/>
        <a:stretch>
          <a:fillRect/>
        </a:stretch>
      </xdr:blipFill>
      <xdr:spPr>
        <a:xfrm>
          <a:off x="0" y="278174450"/>
          <a:ext cx="619125" cy="676275"/>
        </a:xfrm>
        <a:prstGeom prst="rect">
          <a:avLst/>
        </a:prstGeom>
      </xdr:spPr>
    </xdr:pic>
  </etc:cellImage>
  <etc:cellImage>
    <xdr:pic>
      <xdr:nvPicPr>
        <xdr:cNvPr id="401" name="ID_2ACE0107F1794518BF9F437B5E66C39E" descr="Picture"/>
        <xdr:cNvPicPr/>
      </xdr:nvPicPr>
      <xdr:blipFill>
        <a:blip r:embed="rId399" cstate="print"/>
        <a:stretch>
          <a:fillRect/>
        </a:stretch>
      </xdr:blipFill>
      <xdr:spPr>
        <a:xfrm>
          <a:off x="0" y="278872950"/>
          <a:ext cx="619125" cy="676275"/>
        </a:xfrm>
        <a:prstGeom prst="rect">
          <a:avLst/>
        </a:prstGeom>
      </xdr:spPr>
    </xdr:pic>
  </etc:cellImage>
  <etc:cellImage>
    <xdr:pic>
      <xdr:nvPicPr>
        <xdr:cNvPr id="402" name="ID_9B8DACB3D0FA49D6A6097247F1A79D5F" descr="Picture"/>
        <xdr:cNvPicPr/>
      </xdr:nvPicPr>
      <xdr:blipFill>
        <a:blip r:embed="rId400" cstate="print"/>
        <a:stretch>
          <a:fillRect/>
        </a:stretch>
      </xdr:blipFill>
      <xdr:spPr>
        <a:xfrm>
          <a:off x="0" y="279571450"/>
          <a:ext cx="619125" cy="676275"/>
        </a:xfrm>
        <a:prstGeom prst="rect">
          <a:avLst/>
        </a:prstGeom>
      </xdr:spPr>
    </xdr:pic>
  </etc:cellImage>
  <etc:cellImage>
    <xdr:pic>
      <xdr:nvPicPr>
        <xdr:cNvPr id="403" name="ID_9F1156CB23AF439EA3E64ED0204894CE" descr="Picture"/>
        <xdr:cNvPicPr/>
      </xdr:nvPicPr>
      <xdr:blipFill>
        <a:blip r:embed="rId401" cstate="print"/>
        <a:stretch>
          <a:fillRect/>
        </a:stretch>
      </xdr:blipFill>
      <xdr:spPr>
        <a:xfrm>
          <a:off x="0" y="280269950"/>
          <a:ext cx="619125" cy="676275"/>
        </a:xfrm>
        <a:prstGeom prst="rect">
          <a:avLst/>
        </a:prstGeom>
      </xdr:spPr>
    </xdr:pic>
  </etc:cellImage>
  <etc:cellImage>
    <xdr:pic>
      <xdr:nvPicPr>
        <xdr:cNvPr id="404" name="ID_FD4BF08F8A774EE398DDB7249B998733" descr="Picture"/>
        <xdr:cNvPicPr/>
      </xdr:nvPicPr>
      <xdr:blipFill>
        <a:blip r:embed="rId402" cstate="print"/>
        <a:stretch>
          <a:fillRect/>
        </a:stretch>
      </xdr:blipFill>
      <xdr:spPr>
        <a:xfrm>
          <a:off x="0" y="280968450"/>
          <a:ext cx="619125" cy="676275"/>
        </a:xfrm>
        <a:prstGeom prst="rect">
          <a:avLst/>
        </a:prstGeom>
      </xdr:spPr>
    </xdr:pic>
  </etc:cellImage>
  <etc:cellImage>
    <xdr:pic>
      <xdr:nvPicPr>
        <xdr:cNvPr id="405" name="ID_358A850FD16F4261BB7F5DE57A6A6300" descr="Picture"/>
        <xdr:cNvPicPr/>
      </xdr:nvPicPr>
      <xdr:blipFill>
        <a:blip r:embed="rId403" cstate="print"/>
        <a:stretch>
          <a:fillRect/>
        </a:stretch>
      </xdr:blipFill>
      <xdr:spPr>
        <a:xfrm>
          <a:off x="0" y="281666950"/>
          <a:ext cx="619125" cy="676275"/>
        </a:xfrm>
        <a:prstGeom prst="rect">
          <a:avLst/>
        </a:prstGeom>
      </xdr:spPr>
    </xdr:pic>
  </etc:cellImage>
  <etc:cellImage>
    <xdr:pic>
      <xdr:nvPicPr>
        <xdr:cNvPr id="406" name="ID_BB47D284B6ED4DD19805BCD3E2B088E2" descr="Picture"/>
        <xdr:cNvPicPr/>
      </xdr:nvPicPr>
      <xdr:blipFill>
        <a:blip r:embed="rId404" cstate="print"/>
        <a:stretch>
          <a:fillRect/>
        </a:stretch>
      </xdr:blipFill>
      <xdr:spPr>
        <a:xfrm>
          <a:off x="0" y="282365450"/>
          <a:ext cx="619125" cy="676275"/>
        </a:xfrm>
        <a:prstGeom prst="rect">
          <a:avLst/>
        </a:prstGeom>
      </xdr:spPr>
    </xdr:pic>
  </etc:cellImage>
  <etc:cellImage>
    <xdr:pic>
      <xdr:nvPicPr>
        <xdr:cNvPr id="407" name="ID_E0ED945C834A4549BC79CC184F871B78" descr="Picture"/>
        <xdr:cNvPicPr/>
      </xdr:nvPicPr>
      <xdr:blipFill>
        <a:blip r:embed="rId405" cstate="print"/>
        <a:stretch>
          <a:fillRect/>
        </a:stretch>
      </xdr:blipFill>
      <xdr:spPr>
        <a:xfrm>
          <a:off x="0" y="283063950"/>
          <a:ext cx="619125" cy="676275"/>
        </a:xfrm>
        <a:prstGeom prst="rect">
          <a:avLst/>
        </a:prstGeom>
      </xdr:spPr>
    </xdr:pic>
  </etc:cellImage>
  <etc:cellImage>
    <xdr:pic>
      <xdr:nvPicPr>
        <xdr:cNvPr id="408" name="ID_534738B888604B6AB0CC46CC3EAEE9A6" descr="Picture"/>
        <xdr:cNvPicPr/>
      </xdr:nvPicPr>
      <xdr:blipFill>
        <a:blip r:embed="rId406" cstate="print"/>
        <a:stretch>
          <a:fillRect/>
        </a:stretch>
      </xdr:blipFill>
      <xdr:spPr>
        <a:xfrm>
          <a:off x="0" y="283762450"/>
          <a:ext cx="619125" cy="676275"/>
        </a:xfrm>
        <a:prstGeom prst="rect">
          <a:avLst/>
        </a:prstGeom>
      </xdr:spPr>
    </xdr:pic>
  </etc:cellImage>
  <etc:cellImage>
    <xdr:pic>
      <xdr:nvPicPr>
        <xdr:cNvPr id="409" name="ID_BA0BF048EA8E450AB5DC2FCA25F0F831" descr="Picture"/>
        <xdr:cNvPicPr/>
      </xdr:nvPicPr>
      <xdr:blipFill>
        <a:blip r:embed="rId407" cstate="print"/>
        <a:stretch>
          <a:fillRect/>
        </a:stretch>
      </xdr:blipFill>
      <xdr:spPr>
        <a:xfrm>
          <a:off x="0" y="284460950"/>
          <a:ext cx="619125" cy="676275"/>
        </a:xfrm>
        <a:prstGeom prst="rect">
          <a:avLst/>
        </a:prstGeom>
      </xdr:spPr>
    </xdr:pic>
  </etc:cellImage>
  <etc:cellImage>
    <xdr:pic>
      <xdr:nvPicPr>
        <xdr:cNvPr id="410" name="ID_85471944FF9844E19AC53671415180B4" descr="Picture"/>
        <xdr:cNvPicPr/>
      </xdr:nvPicPr>
      <xdr:blipFill>
        <a:blip r:embed="rId408" cstate="print"/>
        <a:stretch>
          <a:fillRect/>
        </a:stretch>
      </xdr:blipFill>
      <xdr:spPr>
        <a:xfrm>
          <a:off x="0" y="285159450"/>
          <a:ext cx="619125" cy="676275"/>
        </a:xfrm>
        <a:prstGeom prst="rect">
          <a:avLst/>
        </a:prstGeom>
      </xdr:spPr>
    </xdr:pic>
  </etc:cellImage>
  <etc:cellImage>
    <xdr:pic>
      <xdr:nvPicPr>
        <xdr:cNvPr id="411" name="ID_D106D78AF59F4C86992AB029412EFC8E" descr="Picture"/>
        <xdr:cNvPicPr/>
      </xdr:nvPicPr>
      <xdr:blipFill>
        <a:blip r:embed="rId409" cstate="print"/>
        <a:stretch>
          <a:fillRect/>
        </a:stretch>
      </xdr:blipFill>
      <xdr:spPr>
        <a:xfrm>
          <a:off x="0" y="285857950"/>
          <a:ext cx="619125" cy="676275"/>
        </a:xfrm>
        <a:prstGeom prst="rect">
          <a:avLst/>
        </a:prstGeom>
      </xdr:spPr>
    </xdr:pic>
  </etc:cellImage>
  <etc:cellImage>
    <xdr:pic>
      <xdr:nvPicPr>
        <xdr:cNvPr id="412" name="ID_565728F6B9BB47F3845684C746296E3B" descr="Picture"/>
        <xdr:cNvPicPr/>
      </xdr:nvPicPr>
      <xdr:blipFill>
        <a:blip r:embed="rId410" cstate="print"/>
        <a:stretch>
          <a:fillRect/>
        </a:stretch>
      </xdr:blipFill>
      <xdr:spPr>
        <a:xfrm>
          <a:off x="0" y="286556450"/>
          <a:ext cx="619125" cy="676275"/>
        </a:xfrm>
        <a:prstGeom prst="rect">
          <a:avLst/>
        </a:prstGeom>
      </xdr:spPr>
    </xdr:pic>
  </etc:cellImage>
  <etc:cellImage>
    <xdr:pic>
      <xdr:nvPicPr>
        <xdr:cNvPr id="413" name="ID_7C026041043B48CD892D09212386D213" descr="Picture"/>
        <xdr:cNvPicPr/>
      </xdr:nvPicPr>
      <xdr:blipFill>
        <a:blip r:embed="rId411" cstate="print"/>
        <a:stretch>
          <a:fillRect/>
        </a:stretch>
      </xdr:blipFill>
      <xdr:spPr>
        <a:xfrm>
          <a:off x="0" y="287254950"/>
          <a:ext cx="619125" cy="676275"/>
        </a:xfrm>
        <a:prstGeom prst="rect">
          <a:avLst/>
        </a:prstGeom>
      </xdr:spPr>
    </xdr:pic>
  </etc:cellImage>
  <etc:cellImage>
    <xdr:pic>
      <xdr:nvPicPr>
        <xdr:cNvPr id="414" name="ID_03399EF3B8FE4674B9AC80C87C15EBA9" descr="Picture"/>
        <xdr:cNvPicPr/>
      </xdr:nvPicPr>
      <xdr:blipFill>
        <a:blip r:embed="rId412" cstate="print"/>
        <a:stretch>
          <a:fillRect/>
        </a:stretch>
      </xdr:blipFill>
      <xdr:spPr>
        <a:xfrm>
          <a:off x="0" y="287953450"/>
          <a:ext cx="619125" cy="676275"/>
        </a:xfrm>
        <a:prstGeom prst="rect">
          <a:avLst/>
        </a:prstGeom>
      </xdr:spPr>
    </xdr:pic>
  </etc:cellImage>
  <etc:cellImage>
    <xdr:pic>
      <xdr:nvPicPr>
        <xdr:cNvPr id="415" name="ID_73F49FB9C3D54F29A42BEE6984174398" descr="Picture"/>
        <xdr:cNvPicPr/>
      </xdr:nvPicPr>
      <xdr:blipFill>
        <a:blip r:embed="rId413" cstate="print"/>
        <a:stretch>
          <a:fillRect/>
        </a:stretch>
      </xdr:blipFill>
      <xdr:spPr>
        <a:xfrm>
          <a:off x="0" y="288651950"/>
          <a:ext cx="619125" cy="676275"/>
        </a:xfrm>
        <a:prstGeom prst="rect">
          <a:avLst/>
        </a:prstGeom>
      </xdr:spPr>
    </xdr:pic>
  </etc:cellImage>
  <etc:cellImage>
    <xdr:pic>
      <xdr:nvPicPr>
        <xdr:cNvPr id="416" name="ID_789CF18D305841EB87DBEE03706541BB" descr="Picture"/>
        <xdr:cNvPicPr/>
      </xdr:nvPicPr>
      <xdr:blipFill>
        <a:blip r:embed="rId414" cstate="print"/>
        <a:stretch>
          <a:fillRect/>
        </a:stretch>
      </xdr:blipFill>
      <xdr:spPr>
        <a:xfrm>
          <a:off x="0" y="289350450"/>
          <a:ext cx="619125" cy="676275"/>
        </a:xfrm>
        <a:prstGeom prst="rect">
          <a:avLst/>
        </a:prstGeom>
      </xdr:spPr>
    </xdr:pic>
  </etc:cellImage>
  <etc:cellImage>
    <xdr:pic>
      <xdr:nvPicPr>
        <xdr:cNvPr id="417" name="ID_E0A6BD58CD604C6883B9DED5C26452F4" descr="Picture"/>
        <xdr:cNvPicPr/>
      </xdr:nvPicPr>
      <xdr:blipFill>
        <a:blip r:embed="rId415" cstate="print"/>
        <a:stretch>
          <a:fillRect/>
        </a:stretch>
      </xdr:blipFill>
      <xdr:spPr>
        <a:xfrm>
          <a:off x="0" y="290048950"/>
          <a:ext cx="619125" cy="676275"/>
        </a:xfrm>
        <a:prstGeom prst="rect">
          <a:avLst/>
        </a:prstGeom>
      </xdr:spPr>
    </xdr:pic>
  </etc:cellImage>
  <etc:cellImage>
    <xdr:pic>
      <xdr:nvPicPr>
        <xdr:cNvPr id="418" name="ID_E4A94AB04547420A8C0533333CCC9E3C" descr="Picture"/>
        <xdr:cNvPicPr/>
      </xdr:nvPicPr>
      <xdr:blipFill>
        <a:blip r:embed="rId416" cstate="print"/>
        <a:stretch>
          <a:fillRect/>
        </a:stretch>
      </xdr:blipFill>
      <xdr:spPr>
        <a:xfrm>
          <a:off x="0" y="290747450"/>
          <a:ext cx="619125" cy="676275"/>
        </a:xfrm>
        <a:prstGeom prst="rect">
          <a:avLst/>
        </a:prstGeom>
      </xdr:spPr>
    </xdr:pic>
  </etc:cellImage>
  <etc:cellImage>
    <xdr:pic>
      <xdr:nvPicPr>
        <xdr:cNvPr id="419" name="ID_8AF5C28DF40D49D3A5F390876CB46542" descr="Picture"/>
        <xdr:cNvPicPr/>
      </xdr:nvPicPr>
      <xdr:blipFill>
        <a:blip r:embed="rId417" cstate="print"/>
        <a:stretch>
          <a:fillRect/>
        </a:stretch>
      </xdr:blipFill>
      <xdr:spPr>
        <a:xfrm>
          <a:off x="0" y="291445950"/>
          <a:ext cx="619125" cy="676275"/>
        </a:xfrm>
        <a:prstGeom prst="rect">
          <a:avLst/>
        </a:prstGeom>
      </xdr:spPr>
    </xdr:pic>
  </etc:cellImage>
  <etc:cellImage>
    <xdr:pic>
      <xdr:nvPicPr>
        <xdr:cNvPr id="420" name="ID_16672176A152456C816A3FE67FFC773E" descr="Picture"/>
        <xdr:cNvPicPr/>
      </xdr:nvPicPr>
      <xdr:blipFill>
        <a:blip r:embed="rId418" cstate="print"/>
        <a:stretch>
          <a:fillRect/>
        </a:stretch>
      </xdr:blipFill>
      <xdr:spPr>
        <a:xfrm>
          <a:off x="0" y="292144450"/>
          <a:ext cx="619125" cy="676275"/>
        </a:xfrm>
        <a:prstGeom prst="rect">
          <a:avLst/>
        </a:prstGeom>
      </xdr:spPr>
    </xdr:pic>
  </etc:cellImage>
  <etc:cellImage>
    <xdr:pic>
      <xdr:nvPicPr>
        <xdr:cNvPr id="421" name="ID_CC683C630A564D93B1F299CEE1B705BB" descr="Picture"/>
        <xdr:cNvPicPr/>
      </xdr:nvPicPr>
      <xdr:blipFill>
        <a:blip r:embed="rId419" cstate="print"/>
        <a:stretch>
          <a:fillRect/>
        </a:stretch>
      </xdr:blipFill>
      <xdr:spPr>
        <a:xfrm>
          <a:off x="0" y="292842950"/>
          <a:ext cx="619125" cy="676275"/>
        </a:xfrm>
        <a:prstGeom prst="rect">
          <a:avLst/>
        </a:prstGeom>
      </xdr:spPr>
    </xdr:pic>
  </etc:cellImage>
  <etc:cellImage>
    <xdr:pic>
      <xdr:nvPicPr>
        <xdr:cNvPr id="422" name="ID_3966E7B841D742DE93A167EB37E4935C" descr="Picture"/>
        <xdr:cNvPicPr/>
      </xdr:nvPicPr>
      <xdr:blipFill>
        <a:blip r:embed="rId420" cstate="print"/>
        <a:stretch>
          <a:fillRect/>
        </a:stretch>
      </xdr:blipFill>
      <xdr:spPr>
        <a:xfrm>
          <a:off x="0" y="293541450"/>
          <a:ext cx="619125" cy="676275"/>
        </a:xfrm>
        <a:prstGeom prst="rect">
          <a:avLst/>
        </a:prstGeom>
      </xdr:spPr>
    </xdr:pic>
  </etc:cellImage>
  <etc:cellImage>
    <xdr:pic>
      <xdr:nvPicPr>
        <xdr:cNvPr id="423" name="ID_A087FA25FA254DB391028F6777BC2B84" descr="Picture"/>
        <xdr:cNvPicPr/>
      </xdr:nvPicPr>
      <xdr:blipFill>
        <a:blip r:embed="rId421" cstate="print"/>
        <a:stretch>
          <a:fillRect/>
        </a:stretch>
      </xdr:blipFill>
      <xdr:spPr>
        <a:xfrm>
          <a:off x="0" y="294239950"/>
          <a:ext cx="619125" cy="676275"/>
        </a:xfrm>
        <a:prstGeom prst="rect">
          <a:avLst/>
        </a:prstGeom>
      </xdr:spPr>
    </xdr:pic>
  </etc:cellImage>
  <etc:cellImage>
    <xdr:pic>
      <xdr:nvPicPr>
        <xdr:cNvPr id="424" name="ID_C551AC288CC34708B5FA574D76E698B0" descr="Picture"/>
        <xdr:cNvPicPr/>
      </xdr:nvPicPr>
      <xdr:blipFill>
        <a:blip r:embed="rId422" cstate="print"/>
        <a:stretch>
          <a:fillRect/>
        </a:stretch>
      </xdr:blipFill>
      <xdr:spPr>
        <a:xfrm>
          <a:off x="0" y="294938450"/>
          <a:ext cx="619125" cy="676275"/>
        </a:xfrm>
        <a:prstGeom prst="rect">
          <a:avLst/>
        </a:prstGeom>
      </xdr:spPr>
    </xdr:pic>
  </etc:cellImage>
  <etc:cellImage>
    <xdr:pic>
      <xdr:nvPicPr>
        <xdr:cNvPr id="425" name="ID_4EB4095D00F5415AB0B4BC4C9809632E" descr="Picture"/>
        <xdr:cNvPicPr/>
      </xdr:nvPicPr>
      <xdr:blipFill>
        <a:blip r:embed="rId423" cstate="print"/>
        <a:stretch>
          <a:fillRect/>
        </a:stretch>
      </xdr:blipFill>
      <xdr:spPr>
        <a:xfrm>
          <a:off x="0" y="295636950"/>
          <a:ext cx="619125" cy="676275"/>
        </a:xfrm>
        <a:prstGeom prst="rect">
          <a:avLst/>
        </a:prstGeom>
      </xdr:spPr>
    </xdr:pic>
  </etc:cellImage>
  <etc:cellImage>
    <xdr:pic>
      <xdr:nvPicPr>
        <xdr:cNvPr id="426" name="ID_B1F101ACDDAF43D39C1934FFE76062D9" descr="Picture"/>
        <xdr:cNvPicPr/>
      </xdr:nvPicPr>
      <xdr:blipFill>
        <a:blip r:embed="rId424" cstate="print"/>
        <a:stretch>
          <a:fillRect/>
        </a:stretch>
      </xdr:blipFill>
      <xdr:spPr>
        <a:xfrm>
          <a:off x="0" y="296335450"/>
          <a:ext cx="619125" cy="676275"/>
        </a:xfrm>
        <a:prstGeom prst="rect">
          <a:avLst/>
        </a:prstGeom>
      </xdr:spPr>
    </xdr:pic>
  </etc:cellImage>
  <etc:cellImage>
    <xdr:pic>
      <xdr:nvPicPr>
        <xdr:cNvPr id="427" name="ID_805A9AFC8D374A22A324D5BCCFD21172" descr="Picture"/>
        <xdr:cNvPicPr/>
      </xdr:nvPicPr>
      <xdr:blipFill>
        <a:blip r:embed="rId425" cstate="print"/>
        <a:stretch>
          <a:fillRect/>
        </a:stretch>
      </xdr:blipFill>
      <xdr:spPr>
        <a:xfrm>
          <a:off x="0" y="297033950"/>
          <a:ext cx="619125" cy="676275"/>
        </a:xfrm>
        <a:prstGeom prst="rect">
          <a:avLst/>
        </a:prstGeom>
      </xdr:spPr>
    </xdr:pic>
  </etc:cellImage>
  <etc:cellImage>
    <xdr:pic>
      <xdr:nvPicPr>
        <xdr:cNvPr id="428" name="ID_3D9525842F1C4A9BA93ACC13DC9F4E6C" descr="Picture"/>
        <xdr:cNvPicPr/>
      </xdr:nvPicPr>
      <xdr:blipFill>
        <a:blip r:embed="rId426" cstate="print"/>
        <a:stretch>
          <a:fillRect/>
        </a:stretch>
      </xdr:blipFill>
      <xdr:spPr>
        <a:xfrm>
          <a:off x="0" y="297732450"/>
          <a:ext cx="619125" cy="676275"/>
        </a:xfrm>
        <a:prstGeom prst="rect">
          <a:avLst/>
        </a:prstGeom>
      </xdr:spPr>
    </xdr:pic>
  </etc:cellImage>
  <etc:cellImage>
    <xdr:pic>
      <xdr:nvPicPr>
        <xdr:cNvPr id="429" name="ID_2216D9512F2F4775A6E0E232C59141EB" descr="Picture"/>
        <xdr:cNvPicPr/>
      </xdr:nvPicPr>
      <xdr:blipFill>
        <a:blip r:embed="rId427" cstate="print"/>
        <a:stretch>
          <a:fillRect/>
        </a:stretch>
      </xdr:blipFill>
      <xdr:spPr>
        <a:xfrm>
          <a:off x="0" y="298430950"/>
          <a:ext cx="619125" cy="676275"/>
        </a:xfrm>
        <a:prstGeom prst="rect">
          <a:avLst/>
        </a:prstGeom>
      </xdr:spPr>
    </xdr:pic>
  </etc:cellImage>
  <etc:cellImage>
    <xdr:pic>
      <xdr:nvPicPr>
        <xdr:cNvPr id="430" name="ID_67E92E8A18D0498CA2D66CBB643793EB" descr="Picture"/>
        <xdr:cNvPicPr/>
      </xdr:nvPicPr>
      <xdr:blipFill>
        <a:blip r:embed="rId428" cstate="print"/>
        <a:stretch>
          <a:fillRect/>
        </a:stretch>
      </xdr:blipFill>
      <xdr:spPr>
        <a:xfrm>
          <a:off x="0" y="299129450"/>
          <a:ext cx="619125" cy="676275"/>
        </a:xfrm>
        <a:prstGeom prst="rect">
          <a:avLst/>
        </a:prstGeom>
      </xdr:spPr>
    </xdr:pic>
  </etc:cellImage>
  <etc:cellImage>
    <xdr:pic>
      <xdr:nvPicPr>
        <xdr:cNvPr id="431" name="ID_9AEB8AD5180B4700A3113367A9112DAA" descr="Picture"/>
        <xdr:cNvPicPr/>
      </xdr:nvPicPr>
      <xdr:blipFill>
        <a:blip r:embed="rId429" cstate="print"/>
        <a:stretch>
          <a:fillRect/>
        </a:stretch>
      </xdr:blipFill>
      <xdr:spPr>
        <a:xfrm>
          <a:off x="0" y="299827950"/>
          <a:ext cx="619125" cy="676275"/>
        </a:xfrm>
        <a:prstGeom prst="rect">
          <a:avLst/>
        </a:prstGeom>
      </xdr:spPr>
    </xdr:pic>
  </etc:cellImage>
  <etc:cellImage>
    <xdr:pic>
      <xdr:nvPicPr>
        <xdr:cNvPr id="432" name="ID_B4AB695432BC4DD790A327EBBBAABB0F" descr="Picture"/>
        <xdr:cNvPicPr/>
      </xdr:nvPicPr>
      <xdr:blipFill>
        <a:blip r:embed="rId430" cstate="print"/>
        <a:stretch>
          <a:fillRect/>
        </a:stretch>
      </xdr:blipFill>
      <xdr:spPr>
        <a:xfrm>
          <a:off x="0" y="300526450"/>
          <a:ext cx="619125" cy="676275"/>
        </a:xfrm>
        <a:prstGeom prst="rect">
          <a:avLst/>
        </a:prstGeom>
      </xdr:spPr>
    </xdr:pic>
  </etc:cellImage>
  <etc:cellImage>
    <xdr:pic>
      <xdr:nvPicPr>
        <xdr:cNvPr id="433" name="ID_19D7E5C63ACF43D3A9366CAA16099977" descr="Picture"/>
        <xdr:cNvPicPr/>
      </xdr:nvPicPr>
      <xdr:blipFill>
        <a:blip r:embed="rId431" cstate="print"/>
        <a:stretch>
          <a:fillRect/>
        </a:stretch>
      </xdr:blipFill>
      <xdr:spPr>
        <a:xfrm>
          <a:off x="0" y="301224950"/>
          <a:ext cx="619125" cy="676275"/>
        </a:xfrm>
        <a:prstGeom prst="rect">
          <a:avLst/>
        </a:prstGeom>
      </xdr:spPr>
    </xdr:pic>
  </etc:cellImage>
  <etc:cellImage>
    <xdr:pic>
      <xdr:nvPicPr>
        <xdr:cNvPr id="434" name="ID_B3364242CB73423EAB13617681409E71" descr="Picture"/>
        <xdr:cNvPicPr/>
      </xdr:nvPicPr>
      <xdr:blipFill>
        <a:blip r:embed="rId432" cstate="print"/>
        <a:stretch>
          <a:fillRect/>
        </a:stretch>
      </xdr:blipFill>
      <xdr:spPr>
        <a:xfrm>
          <a:off x="0" y="301923450"/>
          <a:ext cx="619125" cy="676275"/>
        </a:xfrm>
        <a:prstGeom prst="rect">
          <a:avLst/>
        </a:prstGeom>
      </xdr:spPr>
    </xdr:pic>
  </etc:cellImage>
  <etc:cellImage>
    <xdr:pic>
      <xdr:nvPicPr>
        <xdr:cNvPr id="435" name="ID_9483DE536B23410F823924EC6D17B7FD" descr="Picture"/>
        <xdr:cNvPicPr/>
      </xdr:nvPicPr>
      <xdr:blipFill>
        <a:blip r:embed="rId433" cstate="print"/>
        <a:stretch>
          <a:fillRect/>
        </a:stretch>
      </xdr:blipFill>
      <xdr:spPr>
        <a:xfrm>
          <a:off x="0" y="302621950"/>
          <a:ext cx="619125" cy="676275"/>
        </a:xfrm>
        <a:prstGeom prst="rect">
          <a:avLst/>
        </a:prstGeom>
      </xdr:spPr>
    </xdr:pic>
  </etc:cellImage>
  <etc:cellImage>
    <xdr:pic>
      <xdr:nvPicPr>
        <xdr:cNvPr id="436" name="ID_1F094A6393F142938AD22628E7C06512" descr="Picture"/>
        <xdr:cNvPicPr/>
      </xdr:nvPicPr>
      <xdr:blipFill>
        <a:blip r:embed="rId434" cstate="print"/>
        <a:stretch>
          <a:fillRect/>
        </a:stretch>
      </xdr:blipFill>
      <xdr:spPr>
        <a:xfrm>
          <a:off x="0" y="303320450"/>
          <a:ext cx="619125" cy="676275"/>
        </a:xfrm>
        <a:prstGeom prst="rect">
          <a:avLst/>
        </a:prstGeom>
      </xdr:spPr>
    </xdr:pic>
  </etc:cellImage>
  <etc:cellImage>
    <xdr:pic>
      <xdr:nvPicPr>
        <xdr:cNvPr id="437" name="ID_9B0C1E0114404E63BD421165271945FE" descr="Picture"/>
        <xdr:cNvPicPr/>
      </xdr:nvPicPr>
      <xdr:blipFill>
        <a:blip r:embed="rId435" cstate="print"/>
        <a:stretch>
          <a:fillRect/>
        </a:stretch>
      </xdr:blipFill>
      <xdr:spPr>
        <a:xfrm>
          <a:off x="0" y="304018950"/>
          <a:ext cx="619125" cy="676275"/>
        </a:xfrm>
        <a:prstGeom prst="rect">
          <a:avLst/>
        </a:prstGeom>
      </xdr:spPr>
    </xdr:pic>
  </etc:cellImage>
  <etc:cellImage>
    <xdr:pic>
      <xdr:nvPicPr>
        <xdr:cNvPr id="438" name="ID_94A0BBD0B2354422A3CFF7B5CB5BF818" descr="Picture"/>
        <xdr:cNvPicPr/>
      </xdr:nvPicPr>
      <xdr:blipFill>
        <a:blip r:embed="rId436" cstate="print"/>
        <a:stretch>
          <a:fillRect/>
        </a:stretch>
      </xdr:blipFill>
      <xdr:spPr>
        <a:xfrm>
          <a:off x="0" y="304717450"/>
          <a:ext cx="619125" cy="676275"/>
        </a:xfrm>
        <a:prstGeom prst="rect">
          <a:avLst/>
        </a:prstGeom>
      </xdr:spPr>
    </xdr:pic>
  </etc:cellImage>
  <etc:cellImage>
    <xdr:pic>
      <xdr:nvPicPr>
        <xdr:cNvPr id="439" name="ID_182A422EAC51494A9893F1C8A0D2FAD3" descr="Picture"/>
        <xdr:cNvPicPr/>
      </xdr:nvPicPr>
      <xdr:blipFill>
        <a:blip r:embed="rId437" cstate="print"/>
        <a:stretch>
          <a:fillRect/>
        </a:stretch>
      </xdr:blipFill>
      <xdr:spPr>
        <a:xfrm>
          <a:off x="0" y="305415950"/>
          <a:ext cx="619125" cy="676275"/>
        </a:xfrm>
        <a:prstGeom prst="rect">
          <a:avLst/>
        </a:prstGeom>
      </xdr:spPr>
    </xdr:pic>
  </etc:cellImage>
  <etc:cellImage>
    <xdr:pic>
      <xdr:nvPicPr>
        <xdr:cNvPr id="440" name="ID_E68C7C0F90884624ADF343C6B5AA44AB" descr="Picture"/>
        <xdr:cNvPicPr/>
      </xdr:nvPicPr>
      <xdr:blipFill>
        <a:blip r:embed="rId438" cstate="print"/>
        <a:stretch>
          <a:fillRect/>
        </a:stretch>
      </xdr:blipFill>
      <xdr:spPr>
        <a:xfrm>
          <a:off x="0" y="306114450"/>
          <a:ext cx="619125" cy="676275"/>
        </a:xfrm>
        <a:prstGeom prst="rect">
          <a:avLst/>
        </a:prstGeom>
      </xdr:spPr>
    </xdr:pic>
  </etc:cellImage>
  <etc:cellImage>
    <xdr:pic>
      <xdr:nvPicPr>
        <xdr:cNvPr id="441" name="ID_CDBC2ED12D484ED8AE73A363D8682B11" descr="Picture"/>
        <xdr:cNvPicPr/>
      </xdr:nvPicPr>
      <xdr:blipFill>
        <a:blip r:embed="rId439" cstate="print"/>
        <a:stretch>
          <a:fillRect/>
        </a:stretch>
      </xdr:blipFill>
      <xdr:spPr>
        <a:xfrm>
          <a:off x="0" y="306812950"/>
          <a:ext cx="619125" cy="676275"/>
        </a:xfrm>
        <a:prstGeom prst="rect">
          <a:avLst/>
        </a:prstGeom>
      </xdr:spPr>
    </xdr:pic>
  </etc:cellImage>
  <etc:cellImage>
    <xdr:pic>
      <xdr:nvPicPr>
        <xdr:cNvPr id="442" name="ID_4CD0DE0EB5EA4496A128239BD177BA52" descr="Picture"/>
        <xdr:cNvPicPr/>
      </xdr:nvPicPr>
      <xdr:blipFill>
        <a:blip r:embed="rId440" cstate="print"/>
        <a:stretch>
          <a:fillRect/>
        </a:stretch>
      </xdr:blipFill>
      <xdr:spPr>
        <a:xfrm>
          <a:off x="0" y="307511450"/>
          <a:ext cx="619125" cy="676275"/>
        </a:xfrm>
        <a:prstGeom prst="rect">
          <a:avLst/>
        </a:prstGeom>
      </xdr:spPr>
    </xdr:pic>
  </etc:cellImage>
  <etc:cellImage>
    <xdr:pic>
      <xdr:nvPicPr>
        <xdr:cNvPr id="443" name="ID_A9FF9017CB2D4870B0B1A50C6EDA91FB" descr="Picture"/>
        <xdr:cNvPicPr/>
      </xdr:nvPicPr>
      <xdr:blipFill>
        <a:blip r:embed="rId441" cstate="print"/>
        <a:stretch>
          <a:fillRect/>
        </a:stretch>
      </xdr:blipFill>
      <xdr:spPr>
        <a:xfrm>
          <a:off x="0" y="308209950"/>
          <a:ext cx="619125" cy="676275"/>
        </a:xfrm>
        <a:prstGeom prst="rect">
          <a:avLst/>
        </a:prstGeom>
      </xdr:spPr>
    </xdr:pic>
  </etc:cellImage>
  <etc:cellImage>
    <xdr:pic>
      <xdr:nvPicPr>
        <xdr:cNvPr id="444" name="ID_B81020DAE5D1424489731B7387F491DB" descr="Picture"/>
        <xdr:cNvPicPr/>
      </xdr:nvPicPr>
      <xdr:blipFill>
        <a:blip r:embed="rId442" cstate="print"/>
        <a:stretch>
          <a:fillRect/>
        </a:stretch>
      </xdr:blipFill>
      <xdr:spPr>
        <a:xfrm>
          <a:off x="0" y="308908450"/>
          <a:ext cx="619125" cy="676275"/>
        </a:xfrm>
        <a:prstGeom prst="rect">
          <a:avLst/>
        </a:prstGeom>
      </xdr:spPr>
    </xdr:pic>
  </etc:cellImage>
  <etc:cellImage>
    <xdr:pic>
      <xdr:nvPicPr>
        <xdr:cNvPr id="445" name="ID_29BF02C889264FD58EE862BC75E59053" descr="Picture"/>
        <xdr:cNvPicPr/>
      </xdr:nvPicPr>
      <xdr:blipFill>
        <a:blip r:embed="rId443" cstate="print"/>
        <a:stretch>
          <a:fillRect/>
        </a:stretch>
      </xdr:blipFill>
      <xdr:spPr>
        <a:xfrm>
          <a:off x="0" y="309606950"/>
          <a:ext cx="619125" cy="676275"/>
        </a:xfrm>
        <a:prstGeom prst="rect">
          <a:avLst/>
        </a:prstGeom>
      </xdr:spPr>
    </xdr:pic>
  </etc:cellImage>
  <etc:cellImage>
    <xdr:pic>
      <xdr:nvPicPr>
        <xdr:cNvPr id="446" name="ID_D3EC8612ECD8433894357E3FCF9E4430" descr="Picture"/>
        <xdr:cNvPicPr/>
      </xdr:nvPicPr>
      <xdr:blipFill>
        <a:blip r:embed="rId444" cstate="print"/>
        <a:stretch>
          <a:fillRect/>
        </a:stretch>
      </xdr:blipFill>
      <xdr:spPr>
        <a:xfrm>
          <a:off x="0" y="310305450"/>
          <a:ext cx="619125" cy="676275"/>
        </a:xfrm>
        <a:prstGeom prst="rect">
          <a:avLst/>
        </a:prstGeom>
      </xdr:spPr>
    </xdr:pic>
  </etc:cellImage>
  <etc:cellImage>
    <xdr:pic>
      <xdr:nvPicPr>
        <xdr:cNvPr id="447" name="ID_C1E358D75DE84DA18BD6955F6E73AA17" descr="Picture"/>
        <xdr:cNvPicPr/>
      </xdr:nvPicPr>
      <xdr:blipFill>
        <a:blip r:embed="rId445" cstate="print"/>
        <a:stretch>
          <a:fillRect/>
        </a:stretch>
      </xdr:blipFill>
      <xdr:spPr>
        <a:xfrm>
          <a:off x="0" y="311003950"/>
          <a:ext cx="619125" cy="676275"/>
        </a:xfrm>
        <a:prstGeom prst="rect">
          <a:avLst/>
        </a:prstGeom>
      </xdr:spPr>
    </xdr:pic>
  </etc:cellImage>
  <etc:cellImage>
    <xdr:pic>
      <xdr:nvPicPr>
        <xdr:cNvPr id="448" name="ID_6F8D54B364F04DEEABC37E3D757DA87E" descr="Picture"/>
        <xdr:cNvPicPr/>
      </xdr:nvPicPr>
      <xdr:blipFill>
        <a:blip r:embed="rId446" cstate="print"/>
        <a:stretch>
          <a:fillRect/>
        </a:stretch>
      </xdr:blipFill>
      <xdr:spPr>
        <a:xfrm>
          <a:off x="0" y="311702450"/>
          <a:ext cx="619125" cy="676275"/>
        </a:xfrm>
        <a:prstGeom prst="rect">
          <a:avLst/>
        </a:prstGeom>
      </xdr:spPr>
    </xdr:pic>
  </etc:cellImage>
  <etc:cellImage>
    <xdr:pic>
      <xdr:nvPicPr>
        <xdr:cNvPr id="449" name="ID_E1C0BF2E30AB4686A1C8FB6AAC88DD83" descr="Picture"/>
        <xdr:cNvPicPr/>
      </xdr:nvPicPr>
      <xdr:blipFill>
        <a:blip r:embed="rId447" cstate="print"/>
        <a:stretch>
          <a:fillRect/>
        </a:stretch>
      </xdr:blipFill>
      <xdr:spPr>
        <a:xfrm>
          <a:off x="0" y="312400950"/>
          <a:ext cx="619125" cy="676275"/>
        </a:xfrm>
        <a:prstGeom prst="rect">
          <a:avLst/>
        </a:prstGeom>
      </xdr:spPr>
    </xdr:pic>
  </etc:cellImage>
  <etc:cellImage>
    <xdr:pic>
      <xdr:nvPicPr>
        <xdr:cNvPr id="450" name="ID_DF93F7D8931444E7BA9EC08039F95B24" descr="Picture"/>
        <xdr:cNvPicPr/>
      </xdr:nvPicPr>
      <xdr:blipFill>
        <a:blip r:embed="rId448" cstate="print"/>
        <a:stretch>
          <a:fillRect/>
        </a:stretch>
      </xdr:blipFill>
      <xdr:spPr>
        <a:xfrm>
          <a:off x="0" y="313099450"/>
          <a:ext cx="619125" cy="676275"/>
        </a:xfrm>
        <a:prstGeom prst="rect">
          <a:avLst/>
        </a:prstGeom>
      </xdr:spPr>
    </xdr:pic>
  </etc:cellImage>
  <etc:cellImage>
    <xdr:pic>
      <xdr:nvPicPr>
        <xdr:cNvPr id="451" name="ID_1E87D5836AFC4F7E86809DD18679212C" descr="Picture"/>
        <xdr:cNvPicPr/>
      </xdr:nvPicPr>
      <xdr:blipFill>
        <a:blip r:embed="rId449" cstate="print"/>
        <a:stretch>
          <a:fillRect/>
        </a:stretch>
      </xdr:blipFill>
      <xdr:spPr>
        <a:xfrm>
          <a:off x="0" y="313797950"/>
          <a:ext cx="619125" cy="676275"/>
        </a:xfrm>
        <a:prstGeom prst="rect">
          <a:avLst/>
        </a:prstGeom>
      </xdr:spPr>
    </xdr:pic>
  </etc:cellImage>
  <etc:cellImage>
    <xdr:pic>
      <xdr:nvPicPr>
        <xdr:cNvPr id="452" name="ID_79E78E1D7B0F4DCA8FDEA7DF7B23D8E7" descr="Picture"/>
        <xdr:cNvPicPr/>
      </xdr:nvPicPr>
      <xdr:blipFill>
        <a:blip r:embed="rId450" cstate="print"/>
        <a:stretch>
          <a:fillRect/>
        </a:stretch>
      </xdr:blipFill>
      <xdr:spPr>
        <a:xfrm>
          <a:off x="0" y="314496450"/>
          <a:ext cx="619125" cy="676275"/>
        </a:xfrm>
        <a:prstGeom prst="rect">
          <a:avLst/>
        </a:prstGeom>
      </xdr:spPr>
    </xdr:pic>
  </etc:cellImage>
  <etc:cellImage>
    <xdr:pic>
      <xdr:nvPicPr>
        <xdr:cNvPr id="453" name="ID_FA90E35146F04C1787A7CDA8F5AB6238" descr="Picture"/>
        <xdr:cNvPicPr/>
      </xdr:nvPicPr>
      <xdr:blipFill>
        <a:blip r:embed="rId451" cstate="print"/>
        <a:stretch>
          <a:fillRect/>
        </a:stretch>
      </xdr:blipFill>
      <xdr:spPr>
        <a:xfrm>
          <a:off x="0" y="315194950"/>
          <a:ext cx="619125" cy="676275"/>
        </a:xfrm>
        <a:prstGeom prst="rect">
          <a:avLst/>
        </a:prstGeom>
      </xdr:spPr>
    </xdr:pic>
  </etc:cellImage>
  <etc:cellImage>
    <xdr:pic>
      <xdr:nvPicPr>
        <xdr:cNvPr id="454" name="ID_0C0D4D88795445738D53C9D71169F5DC" descr="Picture"/>
        <xdr:cNvPicPr/>
      </xdr:nvPicPr>
      <xdr:blipFill>
        <a:blip r:embed="rId452" cstate="print"/>
        <a:stretch>
          <a:fillRect/>
        </a:stretch>
      </xdr:blipFill>
      <xdr:spPr>
        <a:xfrm>
          <a:off x="0" y="315893450"/>
          <a:ext cx="619125" cy="676275"/>
        </a:xfrm>
        <a:prstGeom prst="rect">
          <a:avLst/>
        </a:prstGeom>
      </xdr:spPr>
    </xdr:pic>
  </etc:cellImage>
  <etc:cellImage>
    <xdr:pic>
      <xdr:nvPicPr>
        <xdr:cNvPr id="455" name="ID_4F6B4BCA1F14418A9767435F4B70FAFA" descr="Picture"/>
        <xdr:cNvPicPr/>
      </xdr:nvPicPr>
      <xdr:blipFill>
        <a:blip r:embed="rId453" cstate="print"/>
        <a:stretch>
          <a:fillRect/>
        </a:stretch>
      </xdr:blipFill>
      <xdr:spPr>
        <a:xfrm>
          <a:off x="0" y="316591950"/>
          <a:ext cx="619125" cy="676275"/>
        </a:xfrm>
        <a:prstGeom prst="rect">
          <a:avLst/>
        </a:prstGeom>
      </xdr:spPr>
    </xdr:pic>
  </etc:cellImage>
  <etc:cellImage>
    <xdr:pic>
      <xdr:nvPicPr>
        <xdr:cNvPr id="456" name="ID_FC6D0EDBB92F4BFFADA1A53C30CCC5E9" descr="Picture"/>
        <xdr:cNvPicPr/>
      </xdr:nvPicPr>
      <xdr:blipFill>
        <a:blip r:embed="rId454" cstate="print"/>
        <a:stretch>
          <a:fillRect/>
        </a:stretch>
      </xdr:blipFill>
      <xdr:spPr>
        <a:xfrm>
          <a:off x="0" y="317290450"/>
          <a:ext cx="619125" cy="676275"/>
        </a:xfrm>
        <a:prstGeom prst="rect">
          <a:avLst/>
        </a:prstGeom>
      </xdr:spPr>
    </xdr:pic>
  </etc:cellImage>
  <etc:cellImage>
    <xdr:pic>
      <xdr:nvPicPr>
        <xdr:cNvPr id="457" name="ID_1C21A3FE5F2A4B0A81D15EA668EF15FF" descr="Picture"/>
        <xdr:cNvPicPr/>
      </xdr:nvPicPr>
      <xdr:blipFill>
        <a:blip r:embed="rId455" cstate="print"/>
        <a:stretch>
          <a:fillRect/>
        </a:stretch>
      </xdr:blipFill>
      <xdr:spPr>
        <a:xfrm>
          <a:off x="0" y="317988950"/>
          <a:ext cx="619125" cy="676275"/>
        </a:xfrm>
        <a:prstGeom prst="rect">
          <a:avLst/>
        </a:prstGeom>
      </xdr:spPr>
    </xdr:pic>
  </etc:cellImage>
  <etc:cellImage>
    <xdr:pic>
      <xdr:nvPicPr>
        <xdr:cNvPr id="458" name="ID_C49763699E2E4DF1B5627FB57171E4AB" descr="Picture"/>
        <xdr:cNvPicPr/>
      </xdr:nvPicPr>
      <xdr:blipFill>
        <a:blip r:embed="rId456" cstate="print"/>
        <a:stretch>
          <a:fillRect/>
        </a:stretch>
      </xdr:blipFill>
      <xdr:spPr>
        <a:xfrm>
          <a:off x="0" y="318687450"/>
          <a:ext cx="619125" cy="676275"/>
        </a:xfrm>
        <a:prstGeom prst="rect">
          <a:avLst/>
        </a:prstGeom>
      </xdr:spPr>
    </xdr:pic>
  </etc:cellImage>
  <etc:cellImage>
    <xdr:pic>
      <xdr:nvPicPr>
        <xdr:cNvPr id="459" name="ID_BE4E04B9D76E442786249003E5F29577" descr="Picture"/>
        <xdr:cNvPicPr/>
      </xdr:nvPicPr>
      <xdr:blipFill>
        <a:blip r:embed="rId457" cstate="print"/>
        <a:stretch>
          <a:fillRect/>
        </a:stretch>
      </xdr:blipFill>
      <xdr:spPr>
        <a:xfrm>
          <a:off x="0" y="319385950"/>
          <a:ext cx="619125" cy="676275"/>
        </a:xfrm>
        <a:prstGeom prst="rect">
          <a:avLst/>
        </a:prstGeom>
      </xdr:spPr>
    </xdr:pic>
  </etc:cellImage>
  <etc:cellImage>
    <xdr:pic>
      <xdr:nvPicPr>
        <xdr:cNvPr id="460" name="ID_6B6DF72A18F84E2B9740C16D6D810784" descr="Picture"/>
        <xdr:cNvPicPr/>
      </xdr:nvPicPr>
      <xdr:blipFill>
        <a:blip r:embed="rId458" cstate="print"/>
        <a:stretch>
          <a:fillRect/>
        </a:stretch>
      </xdr:blipFill>
      <xdr:spPr>
        <a:xfrm>
          <a:off x="0" y="320084450"/>
          <a:ext cx="619125" cy="676275"/>
        </a:xfrm>
        <a:prstGeom prst="rect">
          <a:avLst/>
        </a:prstGeom>
      </xdr:spPr>
    </xdr:pic>
  </etc:cellImage>
  <etc:cellImage>
    <xdr:pic>
      <xdr:nvPicPr>
        <xdr:cNvPr id="461" name="ID_1A6DF8F748A047798A84F5544AE4CA4D" descr="Picture"/>
        <xdr:cNvPicPr/>
      </xdr:nvPicPr>
      <xdr:blipFill>
        <a:blip r:embed="rId459" cstate="print"/>
        <a:stretch>
          <a:fillRect/>
        </a:stretch>
      </xdr:blipFill>
      <xdr:spPr>
        <a:xfrm>
          <a:off x="0" y="320782950"/>
          <a:ext cx="619125" cy="676275"/>
        </a:xfrm>
        <a:prstGeom prst="rect">
          <a:avLst/>
        </a:prstGeom>
      </xdr:spPr>
    </xdr:pic>
  </etc:cellImage>
  <etc:cellImage>
    <xdr:pic>
      <xdr:nvPicPr>
        <xdr:cNvPr id="462" name="ID_78FFEFC1381A437EBB8296D6BE4F9E80" descr="Picture"/>
        <xdr:cNvPicPr/>
      </xdr:nvPicPr>
      <xdr:blipFill>
        <a:blip r:embed="rId460" cstate="print"/>
        <a:stretch>
          <a:fillRect/>
        </a:stretch>
      </xdr:blipFill>
      <xdr:spPr>
        <a:xfrm>
          <a:off x="0" y="321481450"/>
          <a:ext cx="619125" cy="676275"/>
        </a:xfrm>
        <a:prstGeom prst="rect">
          <a:avLst/>
        </a:prstGeom>
      </xdr:spPr>
    </xdr:pic>
  </etc:cellImage>
  <etc:cellImage>
    <xdr:pic>
      <xdr:nvPicPr>
        <xdr:cNvPr id="463" name="ID_E85E811BD5074BCDADDCFE1878F8E576" descr="Picture"/>
        <xdr:cNvPicPr/>
      </xdr:nvPicPr>
      <xdr:blipFill>
        <a:blip r:embed="rId461" cstate="print"/>
        <a:stretch>
          <a:fillRect/>
        </a:stretch>
      </xdr:blipFill>
      <xdr:spPr>
        <a:xfrm>
          <a:off x="0" y="322179950"/>
          <a:ext cx="619125" cy="676275"/>
        </a:xfrm>
        <a:prstGeom prst="rect">
          <a:avLst/>
        </a:prstGeom>
      </xdr:spPr>
    </xdr:pic>
  </etc:cellImage>
  <etc:cellImage>
    <xdr:pic>
      <xdr:nvPicPr>
        <xdr:cNvPr id="464" name="ID_FD8547EB8BF64B8B9A32C11AB6D6EB14" descr="Picture"/>
        <xdr:cNvPicPr/>
      </xdr:nvPicPr>
      <xdr:blipFill>
        <a:blip r:embed="rId462" cstate="print"/>
        <a:stretch>
          <a:fillRect/>
        </a:stretch>
      </xdr:blipFill>
      <xdr:spPr>
        <a:xfrm>
          <a:off x="0" y="322878450"/>
          <a:ext cx="619125" cy="676275"/>
        </a:xfrm>
        <a:prstGeom prst="rect">
          <a:avLst/>
        </a:prstGeom>
      </xdr:spPr>
    </xdr:pic>
  </etc:cellImage>
  <etc:cellImage>
    <xdr:pic>
      <xdr:nvPicPr>
        <xdr:cNvPr id="465" name="ID_03662EDA3D5444A0AC5D75E889FD330B" descr="Picture"/>
        <xdr:cNvPicPr/>
      </xdr:nvPicPr>
      <xdr:blipFill>
        <a:blip r:embed="rId463" cstate="print"/>
        <a:stretch>
          <a:fillRect/>
        </a:stretch>
      </xdr:blipFill>
      <xdr:spPr>
        <a:xfrm>
          <a:off x="0" y="323576950"/>
          <a:ext cx="619125" cy="676275"/>
        </a:xfrm>
        <a:prstGeom prst="rect">
          <a:avLst/>
        </a:prstGeom>
      </xdr:spPr>
    </xdr:pic>
  </etc:cellImage>
  <etc:cellImage>
    <xdr:pic>
      <xdr:nvPicPr>
        <xdr:cNvPr id="466" name="ID_29546E4B17564F61BA6B60BECFC4D789" descr="Picture"/>
        <xdr:cNvPicPr/>
      </xdr:nvPicPr>
      <xdr:blipFill>
        <a:blip r:embed="rId464" cstate="print"/>
        <a:stretch>
          <a:fillRect/>
        </a:stretch>
      </xdr:blipFill>
      <xdr:spPr>
        <a:xfrm>
          <a:off x="0" y="324275450"/>
          <a:ext cx="619125" cy="676275"/>
        </a:xfrm>
        <a:prstGeom prst="rect">
          <a:avLst/>
        </a:prstGeom>
      </xdr:spPr>
    </xdr:pic>
  </etc:cellImage>
  <etc:cellImage>
    <xdr:pic>
      <xdr:nvPicPr>
        <xdr:cNvPr id="467" name="ID_47E8F81B9AC147A19F1DD731AC842122" descr="Picture"/>
        <xdr:cNvPicPr/>
      </xdr:nvPicPr>
      <xdr:blipFill>
        <a:blip r:embed="rId465" cstate="print"/>
        <a:stretch>
          <a:fillRect/>
        </a:stretch>
      </xdr:blipFill>
      <xdr:spPr>
        <a:xfrm>
          <a:off x="0" y="324973950"/>
          <a:ext cx="619125" cy="676275"/>
        </a:xfrm>
        <a:prstGeom prst="rect">
          <a:avLst/>
        </a:prstGeom>
      </xdr:spPr>
    </xdr:pic>
  </etc:cellImage>
  <etc:cellImage>
    <xdr:pic>
      <xdr:nvPicPr>
        <xdr:cNvPr id="468" name="ID_31C07341A47D40E28B32BDD58D5F726B" descr="Picture"/>
        <xdr:cNvPicPr/>
      </xdr:nvPicPr>
      <xdr:blipFill>
        <a:blip r:embed="rId466" cstate="print"/>
        <a:stretch>
          <a:fillRect/>
        </a:stretch>
      </xdr:blipFill>
      <xdr:spPr>
        <a:xfrm>
          <a:off x="0" y="325672450"/>
          <a:ext cx="619125" cy="676275"/>
        </a:xfrm>
        <a:prstGeom prst="rect">
          <a:avLst/>
        </a:prstGeom>
      </xdr:spPr>
    </xdr:pic>
  </etc:cellImage>
  <etc:cellImage>
    <xdr:pic>
      <xdr:nvPicPr>
        <xdr:cNvPr id="469" name="ID_395DB8D8232D4E109DD65FCC606316F0" descr="Picture"/>
        <xdr:cNvPicPr/>
      </xdr:nvPicPr>
      <xdr:blipFill>
        <a:blip r:embed="rId467" cstate="print"/>
        <a:stretch>
          <a:fillRect/>
        </a:stretch>
      </xdr:blipFill>
      <xdr:spPr>
        <a:xfrm>
          <a:off x="0" y="326370950"/>
          <a:ext cx="619125" cy="676275"/>
        </a:xfrm>
        <a:prstGeom prst="rect">
          <a:avLst/>
        </a:prstGeom>
      </xdr:spPr>
    </xdr:pic>
  </etc:cellImage>
  <etc:cellImage>
    <xdr:pic>
      <xdr:nvPicPr>
        <xdr:cNvPr id="470" name="ID_7366B87DB3B641B99B5C7AD027A55959" descr="Picture"/>
        <xdr:cNvPicPr/>
      </xdr:nvPicPr>
      <xdr:blipFill>
        <a:blip r:embed="rId468" cstate="print"/>
        <a:stretch>
          <a:fillRect/>
        </a:stretch>
      </xdr:blipFill>
      <xdr:spPr>
        <a:xfrm>
          <a:off x="0" y="327069450"/>
          <a:ext cx="619125" cy="676275"/>
        </a:xfrm>
        <a:prstGeom prst="rect">
          <a:avLst/>
        </a:prstGeom>
      </xdr:spPr>
    </xdr:pic>
  </etc:cellImage>
  <etc:cellImage>
    <xdr:pic>
      <xdr:nvPicPr>
        <xdr:cNvPr id="471" name="ID_66F6A7A2F8C14D20973989E22F9D2BFF" descr="Picture"/>
        <xdr:cNvPicPr/>
      </xdr:nvPicPr>
      <xdr:blipFill>
        <a:blip r:embed="rId469" cstate="print"/>
        <a:stretch>
          <a:fillRect/>
        </a:stretch>
      </xdr:blipFill>
      <xdr:spPr>
        <a:xfrm>
          <a:off x="0" y="327767950"/>
          <a:ext cx="619125" cy="676275"/>
        </a:xfrm>
        <a:prstGeom prst="rect">
          <a:avLst/>
        </a:prstGeom>
      </xdr:spPr>
    </xdr:pic>
  </etc:cellImage>
  <etc:cellImage>
    <xdr:pic>
      <xdr:nvPicPr>
        <xdr:cNvPr id="472" name="ID_94C5CA06765647B4844F7D87DD35A0D2" descr="Picture"/>
        <xdr:cNvPicPr/>
      </xdr:nvPicPr>
      <xdr:blipFill>
        <a:blip r:embed="rId470" cstate="print"/>
        <a:stretch>
          <a:fillRect/>
        </a:stretch>
      </xdr:blipFill>
      <xdr:spPr>
        <a:xfrm>
          <a:off x="0" y="328466450"/>
          <a:ext cx="619125" cy="676275"/>
        </a:xfrm>
        <a:prstGeom prst="rect">
          <a:avLst/>
        </a:prstGeom>
      </xdr:spPr>
    </xdr:pic>
  </etc:cellImage>
  <etc:cellImage>
    <xdr:pic>
      <xdr:nvPicPr>
        <xdr:cNvPr id="473" name="ID_6BE8D7EF0F3F40CBBCE7A55D8833A4AB" descr="Picture"/>
        <xdr:cNvPicPr/>
      </xdr:nvPicPr>
      <xdr:blipFill>
        <a:blip r:embed="rId471" cstate="print"/>
        <a:stretch>
          <a:fillRect/>
        </a:stretch>
      </xdr:blipFill>
      <xdr:spPr>
        <a:xfrm>
          <a:off x="0" y="329164950"/>
          <a:ext cx="619125" cy="676275"/>
        </a:xfrm>
        <a:prstGeom prst="rect">
          <a:avLst/>
        </a:prstGeom>
      </xdr:spPr>
    </xdr:pic>
  </etc:cellImage>
  <etc:cellImage>
    <xdr:pic>
      <xdr:nvPicPr>
        <xdr:cNvPr id="474" name="ID_28FC93AFC21040A59BE470AB769743E7" descr="Picture"/>
        <xdr:cNvPicPr/>
      </xdr:nvPicPr>
      <xdr:blipFill>
        <a:blip r:embed="rId472" cstate="print"/>
        <a:stretch>
          <a:fillRect/>
        </a:stretch>
      </xdr:blipFill>
      <xdr:spPr>
        <a:xfrm>
          <a:off x="0" y="329863450"/>
          <a:ext cx="619125" cy="676275"/>
        </a:xfrm>
        <a:prstGeom prst="rect">
          <a:avLst/>
        </a:prstGeom>
      </xdr:spPr>
    </xdr:pic>
  </etc:cellImage>
  <etc:cellImage>
    <xdr:pic>
      <xdr:nvPicPr>
        <xdr:cNvPr id="475" name="ID_B2DB4C9578C8404CBE44B32D079F3D67" descr="Picture"/>
        <xdr:cNvPicPr/>
      </xdr:nvPicPr>
      <xdr:blipFill>
        <a:blip r:embed="rId473" cstate="print"/>
        <a:stretch>
          <a:fillRect/>
        </a:stretch>
      </xdr:blipFill>
      <xdr:spPr>
        <a:xfrm>
          <a:off x="0" y="330561950"/>
          <a:ext cx="619125" cy="676275"/>
        </a:xfrm>
        <a:prstGeom prst="rect">
          <a:avLst/>
        </a:prstGeom>
      </xdr:spPr>
    </xdr:pic>
  </etc:cellImage>
  <etc:cellImage>
    <xdr:pic>
      <xdr:nvPicPr>
        <xdr:cNvPr id="476" name="ID_A090640F898648BC817AA9947F0462A1" descr="Picture"/>
        <xdr:cNvPicPr/>
      </xdr:nvPicPr>
      <xdr:blipFill>
        <a:blip r:embed="rId474" cstate="print"/>
        <a:stretch>
          <a:fillRect/>
        </a:stretch>
      </xdr:blipFill>
      <xdr:spPr>
        <a:xfrm>
          <a:off x="0" y="331260450"/>
          <a:ext cx="619125" cy="676275"/>
        </a:xfrm>
        <a:prstGeom prst="rect">
          <a:avLst/>
        </a:prstGeom>
      </xdr:spPr>
    </xdr:pic>
  </etc:cellImage>
  <etc:cellImage>
    <xdr:pic>
      <xdr:nvPicPr>
        <xdr:cNvPr id="477" name="ID_DAFE9F2713C04D7ABB132327A91D0A2C" descr="Picture"/>
        <xdr:cNvPicPr/>
      </xdr:nvPicPr>
      <xdr:blipFill>
        <a:blip r:embed="rId475" cstate="print"/>
        <a:stretch>
          <a:fillRect/>
        </a:stretch>
      </xdr:blipFill>
      <xdr:spPr>
        <a:xfrm>
          <a:off x="0" y="331958950"/>
          <a:ext cx="619125" cy="676275"/>
        </a:xfrm>
        <a:prstGeom prst="rect">
          <a:avLst/>
        </a:prstGeom>
      </xdr:spPr>
    </xdr:pic>
  </etc:cellImage>
  <etc:cellImage>
    <xdr:pic>
      <xdr:nvPicPr>
        <xdr:cNvPr id="478" name="ID_B6825222121040A0AB674696CBE6769B" descr="Picture"/>
        <xdr:cNvPicPr/>
      </xdr:nvPicPr>
      <xdr:blipFill>
        <a:blip r:embed="rId476" cstate="print"/>
        <a:stretch>
          <a:fillRect/>
        </a:stretch>
      </xdr:blipFill>
      <xdr:spPr>
        <a:xfrm>
          <a:off x="0" y="332657450"/>
          <a:ext cx="619125" cy="676275"/>
        </a:xfrm>
        <a:prstGeom prst="rect">
          <a:avLst/>
        </a:prstGeom>
      </xdr:spPr>
    </xdr:pic>
  </etc:cellImage>
  <etc:cellImage>
    <xdr:pic>
      <xdr:nvPicPr>
        <xdr:cNvPr id="479" name="ID_60EE125A16FD4CBC9767218259231759" descr="Picture"/>
        <xdr:cNvPicPr/>
      </xdr:nvPicPr>
      <xdr:blipFill>
        <a:blip r:embed="rId477" cstate="print"/>
        <a:stretch>
          <a:fillRect/>
        </a:stretch>
      </xdr:blipFill>
      <xdr:spPr>
        <a:xfrm>
          <a:off x="0" y="333355950"/>
          <a:ext cx="619125" cy="676275"/>
        </a:xfrm>
        <a:prstGeom prst="rect">
          <a:avLst/>
        </a:prstGeom>
      </xdr:spPr>
    </xdr:pic>
  </etc:cellImage>
  <etc:cellImage>
    <xdr:pic>
      <xdr:nvPicPr>
        <xdr:cNvPr id="480" name="ID_0071FB06F49845B9A4C7DFCB7F825A72" descr="Picture"/>
        <xdr:cNvPicPr/>
      </xdr:nvPicPr>
      <xdr:blipFill>
        <a:blip r:embed="rId478" cstate="print"/>
        <a:stretch>
          <a:fillRect/>
        </a:stretch>
      </xdr:blipFill>
      <xdr:spPr>
        <a:xfrm>
          <a:off x="0" y="334054450"/>
          <a:ext cx="619125" cy="676275"/>
        </a:xfrm>
        <a:prstGeom prst="rect">
          <a:avLst/>
        </a:prstGeom>
      </xdr:spPr>
    </xdr:pic>
  </etc:cellImage>
  <etc:cellImage>
    <xdr:pic>
      <xdr:nvPicPr>
        <xdr:cNvPr id="481" name="ID_EACF1DAB38B444DAABEEF6DE50CEF082" descr="Picture"/>
        <xdr:cNvPicPr/>
      </xdr:nvPicPr>
      <xdr:blipFill>
        <a:blip r:embed="rId479" cstate="print"/>
        <a:stretch>
          <a:fillRect/>
        </a:stretch>
      </xdr:blipFill>
      <xdr:spPr>
        <a:xfrm>
          <a:off x="0" y="334752950"/>
          <a:ext cx="619125" cy="676275"/>
        </a:xfrm>
        <a:prstGeom prst="rect">
          <a:avLst/>
        </a:prstGeom>
      </xdr:spPr>
    </xdr:pic>
  </etc:cellImage>
  <etc:cellImage>
    <xdr:pic>
      <xdr:nvPicPr>
        <xdr:cNvPr id="482" name="ID_F9DFBD936BB54A3CA40ABAA9AA578EE5" descr="Picture"/>
        <xdr:cNvPicPr/>
      </xdr:nvPicPr>
      <xdr:blipFill>
        <a:blip r:embed="rId480" cstate="print"/>
        <a:stretch>
          <a:fillRect/>
        </a:stretch>
      </xdr:blipFill>
      <xdr:spPr>
        <a:xfrm>
          <a:off x="0" y="335451450"/>
          <a:ext cx="619125" cy="676275"/>
        </a:xfrm>
        <a:prstGeom prst="rect">
          <a:avLst/>
        </a:prstGeom>
      </xdr:spPr>
    </xdr:pic>
  </etc:cellImage>
  <etc:cellImage>
    <xdr:pic>
      <xdr:nvPicPr>
        <xdr:cNvPr id="483" name="ID_85E907CDD583423896648C28708873BE" descr="Picture"/>
        <xdr:cNvPicPr/>
      </xdr:nvPicPr>
      <xdr:blipFill>
        <a:blip r:embed="rId481" cstate="print"/>
        <a:stretch>
          <a:fillRect/>
        </a:stretch>
      </xdr:blipFill>
      <xdr:spPr>
        <a:xfrm>
          <a:off x="0" y="336149950"/>
          <a:ext cx="619125" cy="676275"/>
        </a:xfrm>
        <a:prstGeom prst="rect">
          <a:avLst/>
        </a:prstGeom>
      </xdr:spPr>
    </xdr:pic>
  </etc:cellImage>
  <etc:cellImage>
    <xdr:pic>
      <xdr:nvPicPr>
        <xdr:cNvPr id="484" name="ID_ED72C9D85623430E8FC067521420CD10" descr="Picture"/>
        <xdr:cNvPicPr/>
      </xdr:nvPicPr>
      <xdr:blipFill>
        <a:blip r:embed="rId482" cstate="print"/>
        <a:stretch>
          <a:fillRect/>
        </a:stretch>
      </xdr:blipFill>
      <xdr:spPr>
        <a:xfrm>
          <a:off x="0" y="336848450"/>
          <a:ext cx="619125" cy="676275"/>
        </a:xfrm>
        <a:prstGeom prst="rect">
          <a:avLst/>
        </a:prstGeom>
      </xdr:spPr>
    </xdr:pic>
  </etc:cellImage>
  <etc:cellImage>
    <xdr:pic>
      <xdr:nvPicPr>
        <xdr:cNvPr id="485" name="ID_D292365744F046F7A4F93D7FA121832F" descr="Picture"/>
        <xdr:cNvPicPr/>
      </xdr:nvPicPr>
      <xdr:blipFill>
        <a:blip r:embed="rId483" cstate="print"/>
        <a:stretch>
          <a:fillRect/>
        </a:stretch>
      </xdr:blipFill>
      <xdr:spPr>
        <a:xfrm>
          <a:off x="0" y="337546950"/>
          <a:ext cx="619125" cy="676275"/>
        </a:xfrm>
        <a:prstGeom prst="rect">
          <a:avLst/>
        </a:prstGeom>
      </xdr:spPr>
    </xdr:pic>
  </etc:cellImage>
  <etc:cellImage>
    <xdr:pic>
      <xdr:nvPicPr>
        <xdr:cNvPr id="486" name="ID_9E78F525C0DE489EB78CD47988F9B596" descr="Picture"/>
        <xdr:cNvPicPr/>
      </xdr:nvPicPr>
      <xdr:blipFill>
        <a:blip r:embed="rId484" cstate="print"/>
        <a:stretch>
          <a:fillRect/>
        </a:stretch>
      </xdr:blipFill>
      <xdr:spPr>
        <a:xfrm>
          <a:off x="0" y="338245450"/>
          <a:ext cx="619125" cy="676275"/>
        </a:xfrm>
        <a:prstGeom prst="rect">
          <a:avLst/>
        </a:prstGeom>
      </xdr:spPr>
    </xdr:pic>
  </etc:cellImage>
  <etc:cellImage>
    <xdr:pic>
      <xdr:nvPicPr>
        <xdr:cNvPr id="487" name="ID_64617C34C0654C4DA4E9B381EDCA41C5" descr="Picture"/>
        <xdr:cNvPicPr/>
      </xdr:nvPicPr>
      <xdr:blipFill>
        <a:blip r:embed="rId485" cstate="print"/>
        <a:stretch>
          <a:fillRect/>
        </a:stretch>
      </xdr:blipFill>
      <xdr:spPr>
        <a:xfrm>
          <a:off x="0" y="338943950"/>
          <a:ext cx="619125" cy="676275"/>
        </a:xfrm>
        <a:prstGeom prst="rect">
          <a:avLst/>
        </a:prstGeom>
      </xdr:spPr>
    </xdr:pic>
  </etc:cellImage>
  <etc:cellImage>
    <xdr:pic>
      <xdr:nvPicPr>
        <xdr:cNvPr id="488" name="ID_08B7D001900E4F2C9E5E7C4BFF93F9A5" descr="Picture"/>
        <xdr:cNvPicPr/>
      </xdr:nvPicPr>
      <xdr:blipFill>
        <a:blip r:embed="rId486" cstate="print"/>
        <a:stretch>
          <a:fillRect/>
        </a:stretch>
      </xdr:blipFill>
      <xdr:spPr>
        <a:xfrm>
          <a:off x="0" y="339642450"/>
          <a:ext cx="619125" cy="676275"/>
        </a:xfrm>
        <a:prstGeom prst="rect">
          <a:avLst/>
        </a:prstGeom>
      </xdr:spPr>
    </xdr:pic>
  </etc:cellImage>
  <etc:cellImage>
    <xdr:pic>
      <xdr:nvPicPr>
        <xdr:cNvPr id="489" name="ID_1322C3A3D83145BCB59C58BC8D377407" descr="Picture"/>
        <xdr:cNvPicPr/>
      </xdr:nvPicPr>
      <xdr:blipFill>
        <a:blip r:embed="rId487" cstate="print"/>
        <a:stretch>
          <a:fillRect/>
        </a:stretch>
      </xdr:blipFill>
      <xdr:spPr>
        <a:xfrm>
          <a:off x="0" y="340340950"/>
          <a:ext cx="619125" cy="676275"/>
        </a:xfrm>
        <a:prstGeom prst="rect">
          <a:avLst/>
        </a:prstGeom>
      </xdr:spPr>
    </xdr:pic>
  </etc:cellImage>
  <etc:cellImage>
    <xdr:pic>
      <xdr:nvPicPr>
        <xdr:cNvPr id="490" name="ID_D5A1D4C811664F368B03B47D2390A0E1" descr="Picture"/>
        <xdr:cNvPicPr/>
      </xdr:nvPicPr>
      <xdr:blipFill>
        <a:blip r:embed="rId488" cstate="print"/>
        <a:stretch>
          <a:fillRect/>
        </a:stretch>
      </xdr:blipFill>
      <xdr:spPr>
        <a:xfrm>
          <a:off x="0" y="341039450"/>
          <a:ext cx="619125" cy="676275"/>
        </a:xfrm>
        <a:prstGeom prst="rect">
          <a:avLst/>
        </a:prstGeom>
      </xdr:spPr>
    </xdr:pic>
  </etc:cellImage>
  <etc:cellImage>
    <xdr:pic>
      <xdr:nvPicPr>
        <xdr:cNvPr id="491" name="ID_8B43C52F5FB34A4A92650AF136E8A31A" descr="Picture"/>
        <xdr:cNvPicPr/>
      </xdr:nvPicPr>
      <xdr:blipFill>
        <a:blip r:embed="rId489" cstate="print"/>
        <a:stretch>
          <a:fillRect/>
        </a:stretch>
      </xdr:blipFill>
      <xdr:spPr>
        <a:xfrm>
          <a:off x="0" y="341737950"/>
          <a:ext cx="619125" cy="676275"/>
        </a:xfrm>
        <a:prstGeom prst="rect">
          <a:avLst/>
        </a:prstGeom>
      </xdr:spPr>
    </xdr:pic>
  </etc:cellImage>
  <etc:cellImage>
    <xdr:pic>
      <xdr:nvPicPr>
        <xdr:cNvPr id="492" name="ID_9E7E8E311D5242BDB40885543E72B13A" descr="Picture"/>
        <xdr:cNvPicPr/>
      </xdr:nvPicPr>
      <xdr:blipFill>
        <a:blip r:embed="rId490" cstate="print"/>
        <a:stretch>
          <a:fillRect/>
        </a:stretch>
      </xdr:blipFill>
      <xdr:spPr>
        <a:xfrm>
          <a:off x="0" y="342436450"/>
          <a:ext cx="619125" cy="676275"/>
        </a:xfrm>
        <a:prstGeom prst="rect">
          <a:avLst/>
        </a:prstGeom>
      </xdr:spPr>
    </xdr:pic>
  </etc:cellImage>
  <etc:cellImage>
    <xdr:pic>
      <xdr:nvPicPr>
        <xdr:cNvPr id="493" name="ID_B66BC057588B487393F709A6F68914DF" descr="Picture"/>
        <xdr:cNvPicPr/>
      </xdr:nvPicPr>
      <xdr:blipFill>
        <a:blip r:embed="rId491" cstate="print"/>
        <a:stretch>
          <a:fillRect/>
        </a:stretch>
      </xdr:blipFill>
      <xdr:spPr>
        <a:xfrm>
          <a:off x="0" y="343134950"/>
          <a:ext cx="619125" cy="676275"/>
        </a:xfrm>
        <a:prstGeom prst="rect">
          <a:avLst/>
        </a:prstGeom>
      </xdr:spPr>
    </xdr:pic>
  </etc:cellImage>
  <etc:cellImage>
    <xdr:pic>
      <xdr:nvPicPr>
        <xdr:cNvPr id="494" name="ID_878566CA19DE4718A1B698F80ABF2F15" descr="Picture"/>
        <xdr:cNvPicPr/>
      </xdr:nvPicPr>
      <xdr:blipFill>
        <a:blip r:embed="rId492" cstate="print"/>
        <a:stretch>
          <a:fillRect/>
        </a:stretch>
      </xdr:blipFill>
      <xdr:spPr>
        <a:xfrm>
          <a:off x="0" y="343833450"/>
          <a:ext cx="619125" cy="676275"/>
        </a:xfrm>
        <a:prstGeom prst="rect">
          <a:avLst/>
        </a:prstGeom>
      </xdr:spPr>
    </xdr:pic>
  </etc:cellImage>
  <etc:cellImage>
    <xdr:pic>
      <xdr:nvPicPr>
        <xdr:cNvPr id="495" name="ID_193BB1FBAC854D91818034952AF0A0B2" descr="Picture"/>
        <xdr:cNvPicPr/>
      </xdr:nvPicPr>
      <xdr:blipFill>
        <a:blip r:embed="rId493" cstate="print"/>
        <a:stretch>
          <a:fillRect/>
        </a:stretch>
      </xdr:blipFill>
      <xdr:spPr>
        <a:xfrm>
          <a:off x="0" y="344531950"/>
          <a:ext cx="619125" cy="676275"/>
        </a:xfrm>
        <a:prstGeom prst="rect">
          <a:avLst/>
        </a:prstGeom>
      </xdr:spPr>
    </xdr:pic>
  </etc:cellImage>
  <etc:cellImage>
    <xdr:pic>
      <xdr:nvPicPr>
        <xdr:cNvPr id="496" name="ID_4DBC4819C0F04E609DFB782549B0D3B2" descr="Picture"/>
        <xdr:cNvPicPr/>
      </xdr:nvPicPr>
      <xdr:blipFill>
        <a:blip r:embed="rId494" cstate="print"/>
        <a:stretch>
          <a:fillRect/>
        </a:stretch>
      </xdr:blipFill>
      <xdr:spPr>
        <a:xfrm>
          <a:off x="0" y="345230450"/>
          <a:ext cx="619125" cy="676275"/>
        </a:xfrm>
        <a:prstGeom prst="rect">
          <a:avLst/>
        </a:prstGeom>
      </xdr:spPr>
    </xdr:pic>
  </etc:cellImage>
  <etc:cellImage>
    <xdr:pic>
      <xdr:nvPicPr>
        <xdr:cNvPr id="497" name="ID_077E865A662D4E3F92D5AA721A753154" descr="Picture"/>
        <xdr:cNvPicPr/>
      </xdr:nvPicPr>
      <xdr:blipFill>
        <a:blip r:embed="rId495" cstate="print"/>
        <a:stretch>
          <a:fillRect/>
        </a:stretch>
      </xdr:blipFill>
      <xdr:spPr>
        <a:xfrm>
          <a:off x="0" y="345928950"/>
          <a:ext cx="619125" cy="676275"/>
        </a:xfrm>
        <a:prstGeom prst="rect">
          <a:avLst/>
        </a:prstGeom>
      </xdr:spPr>
    </xdr:pic>
  </etc:cellImage>
  <etc:cellImage>
    <xdr:pic>
      <xdr:nvPicPr>
        <xdr:cNvPr id="498" name="ID_9B6C6F1A8D80469F8EB77A44D24C3605" descr="Picture"/>
        <xdr:cNvPicPr/>
      </xdr:nvPicPr>
      <xdr:blipFill>
        <a:blip r:embed="rId496" cstate="print"/>
        <a:stretch>
          <a:fillRect/>
        </a:stretch>
      </xdr:blipFill>
      <xdr:spPr>
        <a:xfrm>
          <a:off x="0" y="346627450"/>
          <a:ext cx="619125" cy="676275"/>
        </a:xfrm>
        <a:prstGeom prst="rect">
          <a:avLst/>
        </a:prstGeom>
      </xdr:spPr>
    </xdr:pic>
  </etc:cellImage>
  <etc:cellImage>
    <xdr:pic>
      <xdr:nvPicPr>
        <xdr:cNvPr id="499" name="ID_6D795DC5F40644289F41ABB5B0DC091A" descr="Picture"/>
        <xdr:cNvPicPr/>
      </xdr:nvPicPr>
      <xdr:blipFill>
        <a:blip r:embed="rId497" cstate="print"/>
        <a:stretch>
          <a:fillRect/>
        </a:stretch>
      </xdr:blipFill>
      <xdr:spPr>
        <a:xfrm>
          <a:off x="0" y="347325950"/>
          <a:ext cx="619125" cy="676275"/>
        </a:xfrm>
        <a:prstGeom prst="rect">
          <a:avLst/>
        </a:prstGeom>
      </xdr:spPr>
    </xdr:pic>
  </etc:cellImage>
  <etc:cellImage>
    <xdr:pic>
      <xdr:nvPicPr>
        <xdr:cNvPr id="500" name="ID_2905CE44E52648D485228A753EB4787D" descr="Picture"/>
        <xdr:cNvPicPr/>
      </xdr:nvPicPr>
      <xdr:blipFill>
        <a:blip r:embed="rId498" cstate="print"/>
        <a:stretch>
          <a:fillRect/>
        </a:stretch>
      </xdr:blipFill>
      <xdr:spPr>
        <a:xfrm>
          <a:off x="0" y="348024450"/>
          <a:ext cx="619125" cy="676275"/>
        </a:xfrm>
        <a:prstGeom prst="rect">
          <a:avLst/>
        </a:prstGeom>
      </xdr:spPr>
    </xdr:pic>
  </etc:cellImage>
  <etc:cellImage>
    <xdr:pic>
      <xdr:nvPicPr>
        <xdr:cNvPr id="501" name="ID_A67CD1321A544DBA8B7D5EB61A1DA3B2" descr="Picture"/>
        <xdr:cNvPicPr/>
      </xdr:nvPicPr>
      <xdr:blipFill>
        <a:blip r:embed="rId499" cstate="print"/>
        <a:stretch>
          <a:fillRect/>
        </a:stretch>
      </xdr:blipFill>
      <xdr:spPr>
        <a:xfrm>
          <a:off x="0" y="348722950"/>
          <a:ext cx="619125" cy="676275"/>
        </a:xfrm>
        <a:prstGeom prst="rect">
          <a:avLst/>
        </a:prstGeom>
      </xdr:spPr>
    </xdr:pic>
  </etc:cellImage>
  <etc:cellImage>
    <xdr:pic>
      <xdr:nvPicPr>
        <xdr:cNvPr id="502" name="ID_6FC4495A092B4EB5BCFE72F6A48305AF" descr="Picture"/>
        <xdr:cNvPicPr/>
      </xdr:nvPicPr>
      <xdr:blipFill>
        <a:blip r:embed="rId500" cstate="print"/>
        <a:stretch>
          <a:fillRect/>
        </a:stretch>
      </xdr:blipFill>
      <xdr:spPr>
        <a:xfrm>
          <a:off x="0" y="349421450"/>
          <a:ext cx="619125" cy="676275"/>
        </a:xfrm>
        <a:prstGeom prst="rect">
          <a:avLst/>
        </a:prstGeom>
      </xdr:spPr>
    </xdr:pic>
  </etc:cellImage>
  <etc:cellImage>
    <xdr:pic>
      <xdr:nvPicPr>
        <xdr:cNvPr id="503" name="ID_4B72ACB20B504B97B557E1FDF8ADF5FF" descr="Picture"/>
        <xdr:cNvPicPr/>
      </xdr:nvPicPr>
      <xdr:blipFill>
        <a:blip r:embed="rId501" cstate="print"/>
        <a:stretch>
          <a:fillRect/>
        </a:stretch>
      </xdr:blipFill>
      <xdr:spPr>
        <a:xfrm>
          <a:off x="0" y="350119950"/>
          <a:ext cx="619125" cy="676275"/>
        </a:xfrm>
        <a:prstGeom prst="rect">
          <a:avLst/>
        </a:prstGeom>
      </xdr:spPr>
    </xdr:pic>
  </etc:cellImage>
  <etc:cellImage>
    <xdr:pic>
      <xdr:nvPicPr>
        <xdr:cNvPr id="504" name="ID_7EC920713A2D47228808E796F5A77CCB" descr="Picture"/>
        <xdr:cNvPicPr/>
      </xdr:nvPicPr>
      <xdr:blipFill>
        <a:blip r:embed="rId502" cstate="print"/>
        <a:stretch>
          <a:fillRect/>
        </a:stretch>
      </xdr:blipFill>
      <xdr:spPr>
        <a:xfrm>
          <a:off x="0" y="350818450"/>
          <a:ext cx="619125" cy="676275"/>
        </a:xfrm>
        <a:prstGeom prst="rect">
          <a:avLst/>
        </a:prstGeom>
      </xdr:spPr>
    </xdr:pic>
  </etc:cellImage>
  <etc:cellImage>
    <xdr:pic>
      <xdr:nvPicPr>
        <xdr:cNvPr id="505" name="ID_9CA761F6C2E4410597D123CE8C493D03" descr="Picture"/>
        <xdr:cNvPicPr/>
      </xdr:nvPicPr>
      <xdr:blipFill>
        <a:blip r:embed="rId503" cstate="print"/>
        <a:stretch>
          <a:fillRect/>
        </a:stretch>
      </xdr:blipFill>
      <xdr:spPr>
        <a:xfrm>
          <a:off x="0" y="351516950"/>
          <a:ext cx="619125" cy="676275"/>
        </a:xfrm>
        <a:prstGeom prst="rect">
          <a:avLst/>
        </a:prstGeom>
      </xdr:spPr>
    </xdr:pic>
  </etc:cellImage>
  <etc:cellImage>
    <xdr:pic>
      <xdr:nvPicPr>
        <xdr:cNvPr id="506" name="ID_E3409713535347C99146022EE0767F66" descr="Picture"/>
        <xdr:cNvPicPr/>
      </xdr:nvPicPr>
      <xdr:blipFill>
        <a:blip r:embed="rId504" cstate="print"/>
        <a:stretch>
          <a:fillRect/>
        </a:stretch>
      </xdr:blipFill>
      <xdr:spPr>
        <a:xfrm>
          <a:off x="0" y="352215450"/>
          <a:ext cx="619125" cy="676275"/>
        </a:xfrm>
        <a:prstGeom prst="rect">
          <a:avLst/>
        </a:prstGeom>
      </xdr:spPr>
    </xdr:pic>
  </etc:cellImage>
  <etc:cellImage>
    <xdr:pic>
      <xdr:nvPicPr>
        <xdr:cNvPr id="507" name="ID_9BA1461E52CC41F4B73B37E7E076E894" descr="Picture"/>
        <xdr:cNvPicPr/>
      </xdr:nvPicPr>
      <xdr:blipFill>
        <a:blip r:embed="rId505" cstate="print"/>
        <a:stretch>
          <a:fillRect/>
        </a:stretch>
      </xdr:blipFill>
      <xdr:spPr>
        <a:xfrm>
          <a:off x="0" y="352913950"/>
          <a:ext cx="619125" cy="676275"/>
        </a:xfrm>
        <a:prstGeom prst="rect">
          <a:avLst/>
        </a:prstGeom>
      </xdr:spPr>
    </xdr:pic>
  </etc:cellImage>
  <etc:cellImage>
    <xdr:pic>
      <xdr:nvPicPr>
        <xdr:cNvPr id="508" name="ID_505ED1ED4DF0463298A767BE0D8510FC" descr="Picture"/>
        <xdr:cNvPicPr/>
      </xdr:nvPicPr>
      <xdr:blipFill>
        <a:blip r:embed="rId506" cstate="print"/>
        <a:stretch>
          <a:fillRect/>
        </a:stretch>
      </xdr:blipFill>
      <xdr:spPr>
        <a:xfrm>
          <a:off x="0" y="353612450"/>
          <a:ext cx="619125" cy="676275"/>
        </a:xfrm>
        <a:prstGeom prst="rect">
          <a:avLst/>
        </a:prstGeom>
      </xdr:spPr>
    </xdr:pic>
  </etc:cellImage>
  <etc:cellImage>
    <xdr:pic>
      <xdr:nvPicPr>
        <xdr:cNvPr id="509" name="ID_18A7310756CD450CA6014264820CB379" descr="Picture"/>
        <xdr:cNvPicPr/>
      </xdr:nvPicPr>
      <xdr:blipFill>
        <a:blip r:embed="rId507" cstate="print"/>
        <a:stretch>
          <a:fillRect/>
        </a:stretch>
      </xdr:blipFill>
      <xdr:spPr>
        <a:xfrm>
          <a:off x="0" y="354310950"/>
          <a:ext cx="619125" cy="676275"/>
        </a:xfrm>
        <a:prstGeom prst="rect">
          <a:avLst/>
        </a:prstGeom>
      </xdr:spPr>
    </xdr:pic>
  </etc:cellImage>
  <etc:cellImage>
    <xdr:pic>
      <xdr:nvPicPr>
        <xdr:cNvPr id="510" name="ID_FB213CFB485348478564BCB1C6E65FBA" descr="Picture"/>
        <xdr:cNvPicPr/>
      </xdr:nvPicPr>
      <xdr:blipFill>
        <a:blip r:embed="rId508" cstate="print"/>
        <a:stretch>
          <a:fillRect/>
        </a:stretch>
      </xdr:blipFill>
      <xdr:spPr>
        <a:xfrm>
          <a:off x="0" y="355009450"/>
          <a:ext cx="619125" cy="676275"/>
        </a:xfrm>
        <a:prstGeom prst="rect">
          <a:avLst/>
        </a:prstGeom>
      </xdr:spPr>
    </xdr:pic>
  </etc:cellImage>
  <etc:cellImage>
    <xdr:pic>
      <xdr:nvPicPr>
        <xdr:cNvPr id="511" name="ID_6808973ACADB4C9C973553F515A106E3" descr="Picture"/>
        <xdr:cNvPicPr/>
      </xdr:nvPicPr>
      <xdr:blipFill>
        <a:blip r:embed="rId509" cstate="print"/>
        <a:stretch>
          <a:fillRect/>
        </a:stretch>
      </xdr:blipFill>
      <xdr:spPr>
        <a:xfrm>
          <a:off x="0" y="355707950"/>
          <a:ext cx="619125" cy="676275"/>
        </a:xfrm>
        <a:prstGeom prst="rect">
          <a:avLst/>
        </a:prstGeom>
      </xdr:spPr>
    </xdr:pic>
  </etc:cellImage>
  <etc:cellImage>
    <xdr:pic>
      <xdr:nvPicPr>
        <xdr:cNvPr id="512" name="ID_B2C4C719968A4E31BCDB00B37E3C53E2" descr="Picture"/>
        <xdr:cNvPicPr/>
      </xdr:nvPicPr>
      <xdr:blipFill>
        <a:blip r:embed="rId510" cstate="print"/>
        <a:stretch>
          <a:fillRect/>
        </a:stretch>
      </xdr:blipFill>
      <xdr:spPr>
        <a:xfrm>
          <a:off x="0" y="356406450"/>
          <a:ext cx="619125" cy="676275"/>
        </a:xfrm>
        <a:prstGeom prst="rect">
          <a:avLst/>
        </a:prstGeom>
      </xdr:spPr>
    </xdr:pic>
  </etc:cellImage>
  <etc:cellImage>
    <xdr:pic>
      <xdr:nvPicPr>
        <xdr:cNvPr id="513" name="ID_87302F27870049458C390EA7DEAD9400" descr="Picture"/>
        <xdr:cNvPicPr/>
      </xdr:nvPicPr>
      <xdr:blipFill>
        <a:blip r:embed="rId511" cstate="print"/>
        <a:stretch>
          <a:fillRect/>
        </a:stretch>
      </xdr:blipFill>
      <xdr:spPr>
        <a:xfrm>
          <a:off x="0" y="357104950"/>
          <a:ext cx="619125" cy="676275"/>
        </a:xfrm>
        <a:prstGeom prst="rect">
          <a:avLst/>
        </a:prstGeom>
      </xdr:spPr>
    </xdr:pic>
  </etc:cellImage>
  <etc:cellImage>
    <xdr:pic>
      <xdr:nvPicPr>
        <xdr:cNvPr id="514" name="ID_594704F1357B4CBCB836AE44DF1259CB" descr="Picture"/>
        <xdr:cNvPicPr/>
      </xdr:nvPicPr>
      <xdr:blipFill>
        <a:blip r:embed="rId512" cstate="print"/>
        <a:stretch>
          <a:fillRect/>
        </a:stretch>
      </xdr:blipFill>
      <xdr:spPr>
        <a:xfrm>
          <a:off x="0" y="357803450"/>
          <a:ext cx="619125" cy="676275"/>
        </a:xfrm>
        <a:prstGeom prst="rect">
          <a:avLst/>
        </a:prstGeom>
      </xdr:spPr>
    </xdr:pic>
  </etc:cellImage>
  <etc:cellImage>
    <xdr:pic>
      <xdr:nvPicPr>
        <xdr:cNvPr id="515" name="ID_0B251864470C4F04851230D7C4DDAF5F" descr="Picture"/>
        <xdr:cNvPicPr/>
      </xdr:nvPicPr>
      <xdr:blipFill>
        <a:blip r:embed="rId513" cstate="print"/>
        <a:stretch>
          <a:fillRect/>
        </a:stretch>
      </xdr:blipFill>
      <xdr:spPr>
        <a:xfrm>
          <a:off x="0" y="358501950"/>
          <a:ext cx="619125" cy="676275"/>
        </a:xfrm>
        <a:prstGeom prst="rect">
          <a:avLst/>
        </a:prstGeom>
      </xdr:spPr>
    </xdr:pic>
  </etc:cellImage>
  <etc:cellImage>
    <xdr:pic>
      <xdr:nvPicPr>
        <xdr:cNvPr id="516" name="ID_D5E4126D79C74338A8BD12314F3F8407" descr="Picture"/>
        <xdr:cNvPicPr/>
      </xdr:nvPicPr>
      <xdr:blipFill>
        <a:blip r:embed="rId514" cstate="print"/>
        <a:stretch>
          <a:fillRect/>
        </a:stretch>
      </xdr:blipFill>
      <xdr:spPr>
        <a:xfrm>
          <a:off x="0" y="359200450"/>
          <a:ext cx="619125" cy="676275"/>
        </a:xfrm>
        <a:prstGeom prst="rect">
          <a:avLst/>
        </a:prstGeom>
      </xdr:spPr>
    </xdr:pic>
  </etc:cellImage>
  <etc:cellImage>
    <xdr:pic>
      <xdr:nvPicPr>
        <xdr:cNvPr id="517" name="ID_E52CC15C3AA84B64A4B1F0B461C5836D" descr="Picture"/>
        <xdr:cNvPicPr/>
      </xdr:nvPicPr>
      <xdr:blipFill>
        <a:blip r:embed="rId515" cstate="print"/>
        <a:stretch>
          <a:fillRect/>
        </a:stretch>
      </xdr:blipFill>
      <xdr:spPr>
        <a:xfrm>
          <a:off x="0" y="359898950"/>
          <a:ext cx="619125" cy="676275"/>
        </a:xfrm>
        <a:prstGeom prst="rect">
          <a:avLst/>
        </a:prstGeom>
      </xdr:spPr>
    </xdr:pic>
  </etc:cellImage>
  <etc:cellImage>
    <xdr:pic>
      <xdr:nvPicPr>
        <xdr:cNvPr id="518" name="ID_988B3885F4A64DB3BE3262B6B47246D1" descr="Picture"/>
        <xdr:cNvPicPr/>
      </xdr:nvPicPr>
      <xdr:blipFill>
        <a:blip r:embed="rId516" cstate="print"/>
        <a:stretch>
          <a:fillRect/>
        </a:stretch>
      </xdr:blipFill>
      <xdr:spPr>
        <a:xfrm>
          <a:off x="0" y="360597450"/>
          <a:ext cx="619125" cy="676275"/>
        </a:xfrm>
        <a:prstGeom prst="rect">
          <a:avLst/>
        </a:prstGeom>
      </xdr:spPr>
    </xdr:pic>
  </etc:cellImage>
  <etc:cellImage>
    <xdr:pic>
      <xdr:nvPicPr>
        <xdr:cNvPr id="519" name="ID_A7E930D413394D958FA5F3F0B260486D" descr="Picture"/>
        <xdr:cNvPicPr/>
      </xdr:nvPicPr>
      <xdr:blipFill>
        <a:blip r:embed="rId517" cstate="print"/>
        <a:stretch>
          <a:fillRect/>
        </a:stretch>
      </xdr:blipFill>
      <xdr:spPr>
        <a:xfrm>
          <a:off x="0" y="361295950"/>
          <a:ext cx="619125" cy="676275"/>
        </a:xfrm>
        <a:prstGeom prst="rect">
          <a:avLst/>
        </a:prstGeom>
      </xdr:spPr>
    </xdr:pic>
  </etc:cellImage>
  <etc:cellImage>
    <xdr:pic>
      <xdr:nvPicPr>
        <xdr:cNvPr id="520" name="ID_3CF7342A4579440F9DF713553DCE2705" descr="Picture"/>
        <xdr:cNvPicPr/>
      </xdr:nvPicPr>
      <xdr:blipFill>
        <a:blip r:embed="rId518" cstate="print"/>
        <a:stretch>
          <a:fillRect/>
        </a:stretch>
      </xdr:blipFill>
      <xdr:spPr>
        <a:xfrm>
          <a:off x="0" y="361994450"/>
          <a:ext cx="619125" cy="676275"/>
        </a:xfrm>
        <a:prstGeom prst="rect">
          <a:avLst/>
        </a:prstGeom>
      </xdr:spPr>
    </xdr:pic>
  </etc:cellImage>
  <etc:cellImage>
    <xdr:pic>
      <xdr:nvPicPr>
        <xdr:cNvPr id="521" name="ID_A211D697660A4F75A8F0AB0D2072D9E5" descr="Picture"/>
        <xdr:cNvPicPr/>
      </xdr:nvPicPr>
      <xdr:blipFill>
        <a:blip r:embed="rId519" cstate="print"/>
        <a:stretch>
          <a:fillRect/>
        </a:stretch>
      </xdr:blipFill>
      <xdr:spPr>
        <a:xfrm>
          <a:off x="0" y="362692950"/>
          <a:ext cx="619125" cy="676275"/>
        </a:xfrm>
        <a:prstGeom prst="rect">
          <a:avLst/>
        </a:prstGeom>
      </xdr:spPr>
    </xdr:pic>
  </etc:cellImage>
  <etc:cellImage>
    <xdr:pic>
      <xdr:nvPicPr>
        <xdr:cNvPr id="522" name="ID_4D849ACB4BBF4FB6B0B8C56CEE523C15" descr="Picture"/>
        <xdr:cNvPicPr/>
      </xdr:nvPicPr>
      <xdr:blipFill>
        <a:blip r:embed="rId520" cstate="print"/>
        <a:stretch>
          <a:fillRect/>
        </a:stretch>
      </xdr:blipFill>
      <xdr:spPr>
        <a:xfrm>
          <a:off x="0" y="363391450"/>
          <a:ext cx="619125" cy="676275"/>
        </a:xfrm>
        <a:prstGeom prst="rect">
          <a:avLst/>
        </a:prstGeom>
      </xdr:spPr>
    </xdr:pic>
  </etc:cellImage>
  <etc:cellImage>
    <xdr:pic>
      <xdr:nvPicPr>
        <xdr:cNvPr id="523" name="ID_8B28885E5372418581684AFDC90CC84C" descr="Picture"/>
        <xdr:cNvPicPr/>
      </xdr:nvPicPr>
      <xdr:blipFill>
        <a:blip r:embed="rId521" cstate="print"/>
        <a:stretch>
          <a:fillRect/>
        </a:stretch>
      </xdr:blipFill>
      <xdr:spPr>
        <a:xfrm>
          <a:off x="0" y="364089950"/>
          <a:ext cx="619125" cy="676275"/>
        </a:xfrm>
        <a:prstGeom prst="rect">
          <a:avLst/>
        </a:prstGeom>
      </xdr:spPr>
    </xdr:pic>
  </etc:cellImage>
  <etc:cellImage>
    <xdr:pic>
      <xdr:nvPicPr>
        <xdr:cNvPr id="524" name="ID_87B79506B8094F24A257A902B667DE37" descr="Picture"/>
        <xdr:cNvPicPr/>
      </xdr:nvPicPr>
      <xdr:blipFill>
        <a:blip r:embed="rId522" cstate="print"/>
        <a:stretch>
          <a:fillRect/>
        </a:stretch>
      </xdr:blipFill>
      <xdr:spPr>
        <a:xfrm>
          <a:off x="0" y="364788450"/>
          <a:ext cx="619125" cy="676275"/>
        </a:xfrm>
        <a:prstGeom prst="rect">
          <a:avLst/>
        </a:prstGeom>
      </xdr:spPr>
    </xdr:pic>
  </etc:cellImage>
  <etc:cellImage>
    <xdr:pic>
      <xdr:nvPicPr>
        <xdr:cNvPr id="525" name="ID_3DE973A3FA574105AA781C66D4571439" descr="Picture"/>
        <xdr:cNvPicPr/>
      </xdr:nvPicPr>
      <xdr:blipFill>
        <a:blip r:embed="rId523" cstate="print"/>
        <a:stretch>
          <a:fillRect/>
        </a:stretch>
      </xdr:blipFill>
      <xdr:spPr>
        <a:xfrm>
          <a:off x="0" y="365486950"/>
          <a:ext cx="619125" cy="676275"/>
        </a:xfrm>
        <a:prstGeom prst="rect">
          <a:avLst/>
        </a:prstGeom>
      </xdr:spPr>
    </xdr:pic>
  </etc:cellImage>
  <etc:cellImage>
    <xdr:pic>
      <xdr:nvPicPr>
        <xdr:cNvPr id="526" name="ID_F6F1DEF7C8974DD58BD0E502447A3E8B" descr="Picture"/>
        <xdr:cNvPicPr/>
      </xdr:nvPicPr>
      <xdr:blipFill>
        <a:blip r:embed="rId524" cstate="print"/>
        <a:stretch>
          <a:fillRect/>
        </a:stretch>
      </xdr:blipFill>
      <xdr:spPr>
        <a:xfrm>
          <a:off x="0" y="366185450"/>
          <a:ext cx="619125" cy="676275"/>
        </a:xfrm>
        <a:prstGeom prst="rect">
          <a:avLst/>
        </a:prstGeom>
      </xdr:spPr>
    </xdr:pic>
  </etc:cellImage>
  <etc:cellImage>
    <xdr:pic>
      <xdr:nvPicPr>
        <xdr:cNvPr id="527" name="ID_D933EF3A5BC14945954A4F394B4216D7" descr="Picture"/>
        <xdr:cNvPicPr/>
      </xdr:nvPicPr>
      <xdr:blipFill>
        <a:blip r:embed="rId525" cstate="print"/>
        <a:stretch>
          <a:fillRect/>
        </a:stretch>
      </xdr:blipFill>
      <xdr:spPr>
        <a:xfrm>
          <a:off x="0" y="366883950"/>
          <a:ext cx="619125" cy="676275"/>
        </a:xfrm>
        <a:prstGeom prst="rect">
          <a:avLst/>
        </a:prstGeom>
      </xdr:spPr>
    </xdr:pic>
  </etc:cellImage>
  <etc:cellImage>
    <xdr:pic>
      <xdr:nvPicPr>
        <xdr:cNvPr id="528" name="ID_B346CAF3584F4179B8035411F7D1EEF5" descr="Picture"/>
        <xdr:cNvPicPr/>
      </xdr:nvPicPr>
      <xdr:blipFill>
        <a:blip r:embed="rId526" cstate="print"/>
        <a:stretch>
          <a:fillRect/>
        </a:stretch>
      </xdr:blipFill>
      <xdr:spPr>
        <a:xfrm>
          <a:off x="0" y="367582450"/>
          <a:ext cx="619125" cy="676275"/>
        </a:xfrm>
        <a:prstGeom prst="rect">
          <a:avLst/>
        </a:prstGeom>
      </xdr:spPr>
    </xdr:pic>
  </etc:cellImage>
  <etc:cellImage>
    <xdr:pic>
      <xdr:nvPicPr>
        <xdr:cNvPr id="529" name="ID_A69C3CD41A5846158F2893D7F1C9C9EF" descr="Picture"/>
        <xdr:cNvPicPr/>
      </xdr:nvPicPr>
      <xdr:blipFill>
        <a:blip r:embed="rId527" cstate="print"/>
        <a:stretch>
          <a:fillRect/>
        </a:stretch>
      </xdr:blipFill>
      <xdr:spPr>
        <a:xfrm>
          <a:off x="0" y="368280950"/>
          <a:ext cx="619125" cy="676275"/>
        </a:xfrm>
        <a:prstGeom prst="rect">
          <a:avLst/>
        </a:prstGeom>
      </xdr:spPr>
    </xdr:pic>
  </etc:cellImage>
  <etc:cellImage>
    <xdr:pic>
      <xdr:nvPicPr>
        <xdr:cNvPr id="530" name="ID_06D751BD211540FC97562BA74029C265" descr="Picture"/>
        <xdr:cNvPicPr/>
      </xdr:nvPicPr>
      <xdr:blipFill>
        <a:blip r:embed="rId528" cstate="print"/>
        <a:stretch>
          <a:fillRect/>
        </a:stretch>
      </xdr:blipFill>
      <xdr:spPr>
        <a:xfrm>
          <a:off x="0" y="368979450"/>
          <a:ext cx="619125" cy="676275"/>
        </a:xfrm>
        <a:prstGeom prst="rect">
          <a:avLst/>
        </a:prstGeom>
      </xdr:spPr>
    </xdr:pic>
  </etc:cellImage>
  <etc:cellImage>
    <xdr:pic>
      <xdr:nvPicPr>
        <xdr:cNvPr id="531" name="ID_03294941778B4FD8B41B217FFE0E2F6F" descr="Picture"/>
        <xdr:cNvPicPr/>
      </xdr:nvPicPr>
      <xdr:blipFill>
        <a:blip r:embed="rId529" cstate="print"/>
        <a:stretch>
          <a:fillRect/>
        </a:stretch>
      </xdr:blipFill>
      <xdr:spPr>
        <a:xfrm>
          <a:off x="0" y="369677950"/>
          <a:ext cx="619125" cy="676275"/>
        </a:xfrm>
        <a:prstGeom prst="rect">
          <a:avLst/>
        </a:prstGeom>
      </xdr:spPr>
    </xdr:pic>
  </etc:cellImage>
  <etc:cellImage>
    <xdr:pic>
      <xdr:nvPicPr>
        <xdr:cNvPr id="532" name="ID_F38539415A3945C4A5259E2CCCC4CC2B" descr="Picture"/>
        <xdr:cNvPicPr/>
      </xdr:nvPicPr>
      <xdr:blipFill>
        <a:blip r:embed="rId530" cstate="print"/>
        <a:stretch>
          <a:fillRect/>
        </a:stretch>
      </xdr:blipFill>
      <xdr:spPr>
        <a:xfrm>
          <a:off x="0" y="370376450"/>
          <a:ext cx="619125" cy="676275"/>
        </a:xfrm>
        <a:prstGeom prst="rect">
          <a:avLst/>
        </a:prstGeom>
      </xdr:spPr>
    </xdr:pic>
  </etc:cellImage>
  <etc:cellImage>
    <xdr:pic>
      <xdr:nvPicPr>
        <xdr:cNvPr id="533" name="ID_4F8389C57CEE4AA89FEC5F0C3382DBB2" descr="Picture"/>
        <xdr:cNvPicPr/>
      </xdr:nvPicPr>
      <xdr:blipFill>
        <a:blip r:embed="rId531" cstate="print"/>
        <a:stretch>
          <a:fillRect/>
        </a:stretch>
      </xdr:blipFill>
      <xdr:spPr>
        <a:xfrm>
          <a:off x="0" y="371074950"/>
          <a:ext cx="619125" cy="676275"/>
        </a:xfrm>
        <a:prstGeom prst="rect">
          <a:avLst/>
        </a:prstGeom>
      </xdr:spPr>
    </xdr:pic>
  </etc:cellImage>
  <etc:cellImage>
    <xdr:pic>
      <xdr:nvPicPr>
        <xdr:cNvPr id="534" name="ID_BD5E5C03E0C44BF3BB7C7A6491C8D17B" descr="Picture"/>
        <xdr:cNvPicPr/>
      </xdr:nvPicPr>
      <xdr:blipFill>
        <a:blip r:embed="rId532" cstate="print"/>
        <a:stretch>
          <a:fillRect/>
        </a:stretch>
      </xdr:blipFill>
      <xdr:spPr>
        <a:xfrm>
          <a:off x="0" y="371773450"/>
          <a:ext cx="619125" cy="676275"/>
        </a:xfrm>
        <a:prstGeom prst="rect">
          <a:avLst/>
        </a:prstGeom>
      </xdr:spPr>
    </xdr:pic>
  </etc:cellImage>
  <etc:cellImage>
    <xdr:pic>
      <xdr:nvPicPr>
        <xdr:cNvPr id="535" name="ID_EEA367F0DBC248B6AB80C134DD1845D5" descr="Picture"/>
        <xdr:cNvPicPr/>
      </xdr:nvPicPr>
      <xdr:blipFill>
        <a:blip r:embed="rId533" cstate="print"/>
        <a:stretch>
          <a:fillRect/>
        </a:stretch>
      </xdr:blipFill>
      <xdr:spPr>
        <a:xfrm>
          <a:off x="0" y="372471950"/>
          <a:ext cx="619125" cy="676275"/>
        </a:xfrm>
        <a:prstGeom prst="rect">
          <a:avLst/>
        </a:prstGeom>
      </xdr:spPr>
    </xdr:pic>
  </etc:cellImage>
  <etc:cellImage>
    <xdr:pic>
      <xdr:nvPicPr>
        <xdr:cNvPr id="536" name="ID_036FD2EF86D2494FBDAFFF6D3931DC6F" descr="Picture"/>
        <xdr:cNvPicPr/>
      </xdr:nvPicPr>
      <xdr:blipFill>
        <a:blip r:embed="rId534" cstate="print"/>
        <a:stretch>
          <a:fillRect/>
        </a:stretch>
      </xdr:blipFill>
      <xdr:spPr>
        <a:xfrm>
          <a:off x="0" y="373170450"/>
          <a:ext cx="619125" cy="676275"/>
        </a:xfrm>
        <a:prstGeom prst="rect">
          <a:avLst/>
        </a:prstGeom>
      </xdr:spPr>
    </xdr:pic>
  </etc:cellImage>
  <etc:cellImage>
    <xdr:pic>
      <xdr:nvPicPr>
        <xdr:cNvPr id="537" name="ID_7CE15304803547B0B32515FE773CFD58" descr="Picture"/>
        <xdr:cNvPicPr/>
      </xdr:nvPicPr>
      <xdr:blipFill>
        <a:blip r:embed="rId535" cstate="print"/>
        <a:stretch>
          <a:fillRect/>
        </a:stretch>
      </xdr:blipFill>
      <xdr:spPr>
        <a:xfrm>
          <a:off x="0" y="373868950"/>
          <a:ext cx="619125" cy="676275"/>
        </a:xfrm>
        <a:prstGeom prst="rect">
          <a:avLst/>
        </a:prstGeom>
      </xdr:spPr>
    </xdr:pic>
  </etc:cellImage>
  <etc:cellImage>
    <xdr:pic>
      <xdr:nvPicPr>
        <xdr:cNvPr id="538" name="ID_51587B7273954C0DBE426B41ABFFCBE6" descr="Picture"/>
        <xdr:cNvPicPr/>
      </xdr:nvPicPr>
      <xdr:blipFill>
        <a:blip r:embed="rId536" cstate="print"/>
        <a:stretch>
          <a:fillRect/>
        </a:stretch>
      </xdr:blipFill>
      <xdr:spPr>
        <a:xfrm>
          <a:off x="0" y="374567450"/>
          <a:ext cx="619125" cy="676275"/>
        </a:xfrm>
        <a:prstGeom prst="rect">
          <a:avLst/>
        </a:prstGeom>
      </xdr:spPr>
    </xdr:pic>
  </etc:cellImage>
  <etc:cellImage>
    <xdr:pic>
      <xdr:nvPicPr>
        <xdr:cNvPr id="539" name="ID_ABED6DAA489940389CCBD308B95C7404" descr="Picture"/>
        <xdr:cNvPicPr/>
      </xdr:nvPicPr>
      <xdr:blipFill>
        <a:blip r:embed="rId537" cstate="print"/>
        <a:stretch>
          <a:fillRect/>
        </a:stretch>
      </xdr:blipFill>
      <xdr:spPr>
        <a:xfrm>
          <a:off x="0" y="375265950"/>
          <a:ext cx="619125" cy="676275"/>
        </a:xfrm>
        <a:prstGeom prst="rect">
          <a:avLst/>
        </a:prstGeom>
      </xdr:spPr>
    </xdr:pic>
  </etc:cellImage>
  <etc:cellImage>
    <xdr:pic>
      <xdr:nvPicPr>
        <xdr:cNvPr id="540" name="ID_3250CE6897184700B08B8FEAC118F3FC" descr="Picture"/>
        <xdr:cNvPicPr/>
      </xdr:nvPicPr>
      <xdr:blipFill>
        <a:blip r:embed="rId538" cstate="print"/>
        <a:stretch>
          <a:fillRect/>
        </a:stretch>
      </xdr:blipFill>
      <xdr:spPr>
        <a:xfrm>
          <a:off x="0" y="375964450"/>
          <a:ext cx="619125" cy="676275"/>
        </a:xfrm>
        <a:prstGeom prst="rect">
          <a:avLst/>
        </a:prstGeom>
      </xdr:spPr>
    </xdr:pic>
  </etc:cellImage>
  <etc:cellImage>
    <xdr:pic>
      <xdr:nvPicPr>
        <xdr:cNvPr id="541" name="ID_61402A1FA38F40B4960F77EF368820FF" descr="Picture"/>
        <xdr:cNvPicPr/>
      </xdr:nvPicPr>
      <xdr:blipFill>
        <a:blip r:embed="rId539" cstate="print"/>
        <a:stretch>
          <a:fillRect/>
        </a:stretch>
      </xdr:blipFill>
      <xdr:spPr>
        <a:xfrm>
          <a:off x="0" y="376662950"/>
          <a:ext cx="619125" cy="676275"/>
        </a:xfrm>
        <a:prstGeom prst="rect">
          <a:avLst/>
        </a:prstGeom>
      </xdr:spPr>
    </xdr:pic>
  </etc:cellImage>
  <etc:cellImage>
    <xdr:pic>
      <xdr:nvPicPr>
        <xdr:cNvPr id="542" name="ID_4BBFDBF16D234422A242C6AEA035625A" descr="Picture"/>
        <xdr:cNvPicPr/>
      </xdr:nvPicPr>
      <xdr:blipFill>
        <a:blip r:embed="rId540" cstate="print"/>
        <a:stretch>
          <a:fillRect/>
        </a:stretch>
      </xdr:blipFill>
      <xdr:spPr>
        <a:xfrm>
          <a:off x="0" y="377361450"/>
          <a:ext cx="619125" cy="676275"/>
        </a:xfrm>
        <a:prstGeom prst="rect">
          <a:avLst/>
        </a:prstGeom>
      </xdr:spPr>
    </xdr:pic>
  </etc:cellImage>
  <etc:cellImage>
    <xdr:pic>
      <xdr:nvPicPr>
        <xdr:cNvPr id="543" name="ID_0C13ACE03AA7491AA12D93A86244DBD1" descr="Picture"/>
        <xdr:cNvPicPr/>
      </xdr:nvPicPr>
      <xdr:blipFill>
        <a:blip r:embed="rId541" cstate="print"/>
        <a:stretch>
          <a:fillRect/>
        </a:stretch>
      </xdr:blipFill>
      <xdr:spPr>
        <a:xfrm>
          <a:off x="0" y="378059950"/>
          <a:ext cx="619125" cy="676275"/>
        </a:xfrm>
        <a:prstGeom prst="rect">
          <a:avLst/>
        </a:prstGeom>
      </xdr:spPr>
    </xdr:pic>
  </etc:cellImage>
  <etc:cellImage>
    <xdr:pic>
      <xdr:nvPicPr>
        <xdr:cNvPr id="544" name="ID_E74CE2ED411140FDBCCA1AAFC8EC97C5" descr="Picture"/>
        <xdr:cNvPicPr/>
      </xdr:nvPicPr>
      <xdr:blipFill>
        <a:blip r:embed="rId542" cstate="print"/>
        <a:stretch>
          <a:fillRect/>
        </a:stretch>
      </xdr:blipFill>
      <xdr:spPr>
        <a:xfrm>
          <a:off x="0" y="378758450"/>
          <a:ext cx="619125" cy="676275"/>
        </a:xfrm>
        <a:prstGeom prst="rect">
          <a:avLst/>
        </a:prstGeom>
      </xdr:spPr>
    </xdr:pic>
  </etc:cellImage>
  <etc:cellImage>
    <xdr:pic>
      <xdr:nvPicPr>
        <xdr:cNvPr id="545" name="ID_BC44D43CF2E44957AC333D28BDEF4BB4" descr="Picture"/>
        <xdr:cNvPicPr/>
      </xdr:nvPicPr>
      <xdr:blipFill>
        <a:blip r:embed="rId543" cstate="print"/>
        <a:stretch>
          <a:fillRect/>
        </a:stretch>
      </xdr:blipFill>
      <xdr:spPr>
        <a:xfrm>
          <a:off x="0" y="379456950"/>
          <a:ext cx="619125" cy="676275"/>
        </a:xfrm>
        <a:prstGeom prst="rect">
          <a:avLst/>
        </a:prstGeom>
      </xdr:spPr>
    </xdr:pic>
  </etc:cellImage>
  <etc:cellImage>
    <xdr:pic>
      <xdr:nvPicPr>
        <xdr:cNvPr id="546" name="ID_AB02DA56D86142119E51FB47C0CDAB26" descr="Picture"/>
        <xdr:cNvPicPr/>
      </xdr:nvPicPr>
      <xdr:blipFill>
        <a:blip r:embed="rId544" cstate="print"/>
        <a:stretch>
          <a:fillRect/>
        </a:stretch>
      </xdr:blipFill>
      <xdr:spPr>
        <a:xfrm>
          <a:off x="0" y="380155450"/>
          <a:ext cx="619125" cy="676275"/>
        </a:xfrm>
        <a:prstGeom prst="rect">
          <a:avLst/>
        </a:prstGeom>
      </xdr:spPr>
    </xdr:pic>
  </etc:cellImage>
  <etc:cellImage>
    <xdr:pic>
      <xdr:nvPicPr>
        <xdr:cNvPr id="547" name="ID_43EE9D69495D4E169E89CCD21049DC57" descr="Picture"/>
        <xdr:cNvPicPr/>
      </xdr:nvPicPr>
      <xdr:blipFill>
        <a:blip r:embed="rId545" cstate="print"/>
        <a:stretch>
          <a:fillRect/>
        </a:stretch>
      </xdr:blipFill>
      <xdr:spPr>
        <a:xfrm>
          <a:off x="0" y="380853950"/>
          <a:ext cx="619125" cy="676275"/>
        </a:xfrm>
        <a:prstGeom prst="rect">
          <a:avLst/>
        </a:prstGeom>
      </xdr:spPr>
    </xdr:pic>
  </etc:cellImage>
  <etc:cellImage>
    <xdr:pic>
      <xdr:nvPicPr>
        <xdr:cNvPr id="548" name="ID_1E2B3B841A4A4AAB978C8D4C95B96FA6" descr="Picture"/>
        <xdr:cNvPicPr/>
      </xdr:nvPicPr>
      <xdr:blipFill>
        <a:blip r:embed="rId546" cstate="print"/>
        <a:stretch>
          <a:fillRect/>
        </a:stretch>
      </xdr:blipFill>
      <xdr:spPr>
        <a:xfrm>
          <a:off x="0" y="381552450"/>
          <a:ext cx="619125" cy="676275"/>
        </a:xfrm>
        <a:prstGeom prst="rect">
          <a:avLst/>
        </a:prstGeom>
      </xdr:spPr>
    </xdr:pic>
  </etc:cellImage>
  <etc:cellImage>
    <xdr:pic>
      <xdr:nvPicPr>
        <xdr:cNvPr id="549" name="ID_1E0D8C89849E44EA8AFDDC63A7F1399E" descr="Picture"/>
        <xdr:cNvPicPr/>
      </xdr:nvPicPr>
      <xdr:blipFill>
        <a:blip r:embed="rId547" cstate="print"/>
        <a:stretch>
          <a:fillRect/>
        </a:stretch>
      </xdr:blipFill>
      <xdr:spPr>
        <a:xfrm>
          <a:off x="0" y="382250950"/>
          <a:ext cx="619125" cy="676275"/>
        </a:xfrm>
        <a:prstGeom prst="rect">
          <a:avLst/>
        </a:prstGeom>
      </xdr:spPr>
    </xdr:pic>
  </etc:cellImage>
  <etc:cellImage>
    <xdr:pic>
      <xdr:nvPicPr>
        <xdr:cNvPr id="550" name="ID_03E8B0242D054CA28AE8CE121944C292" descr="Picture"/>
        <xdr:cNvPicPr/>
      </xdr:nvPicPr>
      <xdr:blipFill>
        <a:blip r:embed="rId548" cstate="print"/>
        <a:stretch>
          <a:fillRect/>
        </a:stretch>
      </xdr:blipFill>
      <xdr:spPr>
        <a:xfrm>
          <a:off x="0" y="382949450"/>
          <a:ext cx="619125" cy="676275"/>
        </a:xfrm>
        <a:prstGeom prst="rect">
          <a:avLst/>
        </a:prstGeom>
      </xdr:spPr>
    </xdr:pic>
  </etc:cellImage>
  <etc:cellImage>
    <xdr:pic>
      <xdr:nvPicPr>
        <xdr:cNvPr id="551" name="ID_A288460695974586A1D63C2505AEB841" descr="Picture"/>
        <xdr:cNvPicPr/>
      </xdr:nvPicPr>
      <xdr:blipFill>
        <a:blip r:embed="rId549" cstate="print"/>
        <a:stretch>
          <a:fillRect/>
        </a:stretch>
      </xdr:blipFill>
      <xdr:spPr>
        <a:xfrm>
          <a:off x="0" y="383647950"/>
          <a:ext cx="619125" cy="676275"/>
        </a:xfrm>
        <a:prstGeom prst="rect">
          <a:avLst/>
        </a:prstGeom>
      </xdr:spPr>
    </xdr:pic>
  </etc:cellImage>
  <etc:cellImage>
    <xdr:pic>
      <xdr:nvPicPr>
        <xdr:cNvPr id="552" name="ID_784CBE70368F4B28A39AC0C78F7DC701" descr="Picture"/>
        <xdr:cNvPicPr/>
      </xdr:nvPicPr>
      <xdr:blipFill>
        <a:blip r:embed="rId550" cstate="print"/>
        <a:stretch>
          <a:fillRect/>
        </a:stretch>
      </xdr:blipFill>
      <xdr:spPr>
        <a:xfrm>
          <a:off x="0" y="384346450"/>
          <a:ext cx="619125" cy="676275"/>
        </a:xfrm>
        <a:prstGeom prst="rect">
          <a:avLst/>
        </a:prstGeom>
      </xdr:spPr>
    </xdr:pic>
  </etc:cellImage>
  <etc:cellImage>
    <xdr:pic>
      <xdr:nvPicPr>
        <xdr:cNvPr id="553" name="ID_D9B6C7A7B49B45ACA32A9DACAF9EF5A8" descr="Picture"/>
        <xdr:cNvPicPr/>
      </xdr:nvPicPr>
      <xdr:blipFill>
        <a:blip r:embed="rId551" cstate="print"/>
        <a:stretch>
          <a:fillRect/>
        </a:stretch>
      </xdr:blipFill>
      <xdr:spPr>
        <a:xfrm>
          <a:off x="0" y="385044950"/>
          <a:ext cx="619125" cy="676275"/>
        </a:xfrm>
        <a:prstGeom prst="rect">
          <a:avLst/>
        </a:prstGeom>
      </xdr:spPr>
    </xdr:pic>
  </etc:cellImage>
  <etc:cellImage>
    <xdr:pic>
      <xdr:nvPicPr>
        <xdr:cNvPr id="554" name="ID_3A55ACB2EEC54068B3650553D773E640" descr="Picture"/>
        <xdr:cNvPicPr/>
      </xdr:nvPicPr>
      <xdr:blipFill>
        <a:blip r:embed="rId552" cstate="print"/>
        <a:stretch>
          <a:fillRect/>
        </a:stretch>
      </xdr:blipFill>
      <xdr:spPr>
        <a:xfrm>
          <a:off x="0" y="385743450"/>
          <a:ext cx="619125" cy="676275"/>
        </a:xfrm>
        <a:prstGeom prst="rect">
          <a:avLst/>
        </a:prstGeom>
      </xdr:spPr>
    </xdr:pic>
  </etc:cellImage>
  <etc:cellImage>
    <xdr:pic>
      <xdr:nvPicPr>
        <xdr:cNvPr id="555" name="ID_E91311B9545F485CBC55048DB735AB38" descr="Picture"/>
        <xdr:cNvPicPr/>
      </xdr:nvPicPr>
      <xdr:blipFill>
        <a:blip r:embed="rId553" cstate="print"/>
        <a:stretch>
          <a:fillRect/>
        </a:stretch>
      </xdr:blipFill>
      <xdr:spPr>
        <a:xfrm>
          <a:off x="0" y="386441950"/>
          <a:ext cx="619125" cy="676275"/>
        </a:xfrm>
        <a:prstGeom prst="rect">
          <a:avLst/>
        </a:prstGeom>
      </xdr:spPr>
    </xdr:pic>
  </etc:cellImage>
  <etc:cellImage>
    <xdr:pic>
      <xdr:nvPicPr>
        <xdr:cNvPr id="556" name="ID_9E78D7331EC54B9B877C0DC65068B032" descr="Picture"/>
        <xdr:cNvPicPr/>
      </xdr:nvPicPr>
      <xdr:blipFill>
        <a:blip r:embed="rId554" cstate="print"/>
        <a:stretch>
          <a:fillRect/>
        </a:stretch>
      </xdr:blipFill>
      <xdr:spPr>
        <a:xfrm>
          <a:off x="0" y="387140450"/>
          <a:ext cx="619125" cy="676275"/>
        </a:xfrm>
        <a:prstGeom prst="rect">
          <a:avLst/>
        </a:prstGeom>
      </xdr:spPr>
    </xdr:pic>
  </etc:cellImage>
  <etc:cellImage>
    <xdr:pic>
      <xdr:nvPicPr>
        <xdr:cNvPr id="557" name="ID_88C0888172404C848D1017BBF225059A" descr="Picture"/>
        <xdr:cNvPicPr/>
      </xdr:nvPicPr>
      <xdr:blipFill>
        <a:blip r:embed="rId555" cstate="print"/>
        <a:stretch>
          <a:fillRect/>
        </a:stretch>
      </xdr:blipFill>
      <xdr:spPr>
        <a:xfrm>
          <a:off x="0" y="387838950"/>
          <a:ext cx="619125" cy="676275"/>
        </a:xfrm>
        <a:prstGeom prst="rect">
          <a:avLst/>
        </a:prstGeom>
      </xdr:spPr>
    </xdr:pic>
  </etc:cellImage>
  <etc:cellImage>
    <xdr:pic>
      <xdr:nvPicPr>
        <xdr:cNvPr id="558" name="ID_153BD5FF610C4D26A7EC95880D4B605E" descr="Picture"/>
        <xdr:cNvPicPr/>
      </xdr:nvPicPr>
      <xdr:blipFill>
        <a:blip r:embed="rId556" cstate="print"/>
        <a:stretch>
          <a:fillRect/>
        </a:stretch>
      </xdr:blipFill>
      <xdr:spPr>
        <a:xfrm>
          <a:off x="0" y="388537450"/>
          <a:ext cx="619125" cy="676275"/>
        </a:xfrm>
        <a:prstGeom prst="rect">
          <a:avLst/>
        </a:prstGeom>
      </xdr:spPr>
    </xdr:pic>
  </etc:cellImage>
  <etc:cellImage>
    <xdr:pic>
      <xdr:nvPicPr>
        <xdr:cNvPr id="559" name="ID_A01FB38F58444B5F996B36A2B896DA79" descr="Picture"/>
        <xdr:cNvPicPr/>
      </xdr:nvPicPr>
      <xdr:blipFill>
        <a:blip r:embed="rId557" cstate="print"/>
        <a:stretch>
          <a:fillRect/>
        </a:stretch>
      </xdr:blipFill>
      <xdr:spPr>
        <a:xfrm>
          <a:off x="0" y="389235950"/>
          <a:ext cx="619125" cy="676275"/>
        </a:xfrm>
        <a:prstGeom prst="rect">
          <a:avLst/>
        </a:prstGeom>
      </xdr:spPr>
    </xdr:pic>
  </etc:cellImage>
  <etc:cellImage>
    <xdr:pic>
      <xdr:nvPicPr>
        <xdr:cNvPr id="560" name="ID_2CC1152C7AA54A3D95EAC9C388F7C02B" descr="Picture"/>
        <xdr:cNvPicPr/>
      </xdr:nvPicPr>
      <xdr:blipFill>
        <a:blip r:embed="rId558" cstate="print"/>
        <a:stretch>
          <a:fillRect/>
        </a:stretch>
      </xdr:blipFill>
      <xdr:spPr>
        <a:xfrm>
          <a:off x="0" y="389934450"/>
          <a:ext cx="619125" cy="676275"/>
        </a:xfrm>
        <a:prstGeom prst="rect">
          <a:avLst/>
        </a:prstGeom>
      </xdr:spPr>
    </xdr:pic>
  </etc:cellImage>
  <etc:cellImage>
    <xdr:pic>
      <xdr:nvPicPr>
        <xdr:cNvPr id="561" name="ID_B71E5CC128E04E8B9D576A5B0600ABF7" descr="Picture"/>
        <xdr:cNvPicPr/>
      </xdr:nvPicPr>
      <xdr:blipFill>
        <a:blip r:embed="rId559" cstate="print"/>
        <a:stretch>
          <a:fillRect/>
        </a:stretch>
      </xdr:blipFill>
      <xdr:spPr>
        <a:xfrm>
          <a:off x="0" y="390632950"/>
          <a:ext cx="619125" cy="676275"/>
        </a:xfrm>
        <a:prstGeom prst="rect">
          <a:avLst/>
        </a:prstGeom>
      </xdr:spPr>
    </xdr:pic>
  </etc:cellImage>
  <etc:cellImage>
    <xdr:pic>
      <xdr:nvPicPr>
        <xdr:cNvPr id="562" name="ID_0F4764B9B45846E2B2BF60CFD8587B1A" descr="Picture"/>
        <xdr:cNvPicPr/>
      </xdr:nvPicPr>
      <xdr:blipFill>
        <a:blip r:embed="rId560" cstate="print"/>
        <a:stretch>
          <a:fillRect/>
        </a:stretch>
      </xdr:blipFill>
      <xdr:spPr>
        <a:xfrm>
          <a:off x="0" y="391331450"/>
          <a:ext cx="619125" cy="676275"/>
        </a:xfrm>
        <a:prstGeom prst="rect">
          <a:avLst/>
        </a:prstGeom>
      </xdr:spPr>
    </xdr:pic>
  </etc:cellImage>
  <etc:cellImage>
    <xdr:pic>
      <xdr:nvPicPr>
        <xdr:cNvPr id="563" name="ID_94928BE0782547E99AD02A3B2D9B0735" descr="Picture"/>
        <xdr:cNvPicPr/>
      </xdr:nvPicPr>
      <xdr:blipFill>
        <a:blip r:embed="rId561" cstate="print"/>
        <a:stretch>
          <a:fillRect/>
        </a:stretch>
      </xdr:blipFill>
      <xdr:spPr>
        <a:xfrm>
          <a:off x="0" y="392029950"/>
          <a:ext cx="619125" cy="676275"/>
        </a:xfrm>
        <a:prstGeom prst="rect">
          <a:avLst/>
        </a:prstGeom>
      </xdr:spPr>
    </xdr:pic>
  </etc:cellImage>
  <etc:cellImage>
    <xdr:pic>
      <xdr:nvPicPr>
        <xdr:cNvPr id="564" name="ID_91D672FCFE664FB2A4569CF37D0010DD" descr="Picture"/>
        <xdr:cNvPicPr/>
      </xdr:nvPicPr>
      <xdr:blipFill>
        <a:blip r:embed="rId562" cstate="print"/>
        <a:stretch>
          <a:fillRect/>
        </a:stretch>
      </xdr:blipFill>
      <xdr:spPr>
        <a:xfrm>
          <a:off x="0" y="392728450"/>
          <a:ext cx="619125" cy="676275"/>
        </a:xfrm>
        <a:prstGeom prst="rect">
          <a:avLst/>
        </a:prstGeom>
      </xdr:spPr>
    </xdr:pic>
  </etc:cellImage>
  <etc:cellImage>
    <xdr:pic>
      <xdr:nvPicPr>
        <xdr:cNvPr id="565" name="ID_43829293AA754CF49805210F147BD7FD" descr="Picture"/>
        <xdr:cNvPicPr/>
      </xdr:nvPicPr>
      <xdr:blipFill>
        <a:blip r:embed="rId563" cstate="print"/>
        <a:stretch>
          <a:fillRect/>
        </a:stretch>
      </xdr:blipFill>
      <xdr:spPr>
        <a:xfrm>
          <a:off x="0" y="393426950"/>
          <a:ext cx="619125" cy="676275"/>
        </a:xfrm>
        <a:prstGeom prst="rect">
          <a:avLst/>
        </a:prstGeom>
      </xdr:spPr>
    </xdr:pic>
  </etc:cellImage>
  <etc:cellImage>
    <xdr:pic>
      <xdr:nvPicPr>
        <xdr:cNvPr id="566" name="ID_5472F41DCDE2448990DB002702F8B8D9" descr="Picture"/>
        <xdr:cNvPicPr/>
      </xdr:nvPicPr>
      <xdr:blipFill>
        <a:blip r:embed="rId564" cstate="print"/>
        <a:stretch>
          <a:fillRect/>
        </a:stretch>
      </xdr:blipFill>
      <xdr:spPr>
        <a:xfrm>
          <a:off x="0" y="394125450"/>
          <a:ext cx="619125" cy="676275"/>
        </a:xfrm>
        <a:prstGeom prst="rect">
          <a:avLst/>
        </a:prstGeom>
      </xdr:spPr>
    </xdr:pic>
  </etc:cellImage>
  <etc:cellImage>
    <xdr:pic>
      <xdr:nvPicPr>
        <xdr:cNvPr id="567" name="ID_5728E3CA3FB54A45854A621C08256AB0" descr="Picture"/>
        <xdr:cNvPicPr/>
      </xdr:nvPicPr>
      <xdr:blipFill>
        <a:blip r:embed="rId565" cstate="print"/>
        <a:stretch>
          <a:fillRect/>
        </a:stretch>
      </xdr:blipFill>
      <xdr:spPr>
        <a:xfrm>
          <a:off x="0" y="394823950"/>
          <a:ext cx="619125" cy="676275"/>
        </a:xfrm>
        <a:prstGeom prst="rect">
          <a:avLst/>
        </a:prstGeom>
      </xdr:spPr>
    </xdr:pic>
  </etc:cellImage>
  <etc:cellImage>
    <xdr:pic>
      <xdr:nvPicPr>
        <xdr:cNvPr id="568" name="ID_629624FCFCE54F6BB7387C0E50739A96" descr="Picture"/>
        <xdr:cNvPicPr/>
      </xdr:nvPicPr>
      <xdr:blipFill>
        <a:blip r:embed="rId566" cstate="print"/>
        <a:stretch>
          <a:fillRect/>
        </a:stretch>
      </xdr:blipFill>
      <xdr:spPr>
        <a:xfrm>
          <a:off x="0" y="395522450"/>
          <a:ext cx="619125" cy="676275"/>
        </a:xfrm>
        <a:prstGeom prst="rect">
          <a:avLst/>
        </a:prstGeom>
      </xdr:spPr>
    </xdr:pic>
  </etc:cellImage>
  <etc:cellImage>
    <xdr:pic>
      <xdr:nvPicPr>
        <xdr:cNvPr id="569" name="ID_63E3022BE12A42D5BAB9669030A8155B" descr="Picture"/>
        <xdr:cNvPicPr/>
      </xdr:nvPicPr>
      <xdr:blipFill>
        <a:blip r:embed="rId567" cstate="print"/>
        <a:stretch>
          <a:fillRect/>
        </a:stretch>
      </xdr:blipFill>
      <xdr:spPr>
        <a:xfrm>
          <a:off x="0" y="396220950"/>
          <a:ext cx="619125" cy="676275"/>
        </a:xfrm>
        <a:prstGeom prst="rect">
          <a:avLst/>
        </a:prstGeom>
      </xdr:spPr>
    </xdr:pic>
  </etc:cellImage>
  <etc:cellImage>
    <xdr:pic>
      <xdr:nvPicPr>
        <xdr:cNvPr id="570" name="ID_4E1883319EEB448C8893359D9202E34A" descr="Picture"/>
        <xdr:cNvPicPr/>
      </xdr:nvPicPr>
      <xdr:blipFill>
        <a:blip r:embed="rId568" cstate="print"/>
        <a:stretch>
          <a:fillRect/>
        </a:stretch>
      </xdr:blipFill>
      <xdr:spPr>
        <a:xfrm>
          <a:off x="0" y="396919450"/>
          <a:ext cx="619125" cy="676275"/>
        </a:xfrm>
        <a:prstGeom prst="rect">
          <a:avLst/>
        </a:prstGeom>
      </xdr:spPr>
    </xdr:pic>
  </etc:cellImage>
  <etc:cellImage>
    <xdr:pic>
      <xdr:nvPicPr>
        <xdr:cNvPr id="571" name="ID_438616314B48488BACDD8446242B156A" descr="Picture"/>
        <xdr:cNvPicPr/>
      </xdr:nvPicPr>
      <xdr:blipFill>
        <a:blip r:embed="rId569" cstate="print"/>
        <a:stretch>
          <a:fillRect/>
        </a:stretch>
      </xdr:blipFill>
      <xdr:spPr>
        <a:xfrm>
          <a:off x="0" y="397617950"/>
          <a:ext cx="619125" cy="676275"/>
        </a:xfrm>
        <a:prstGeom prst="rect">
          <a:avLst/>
        </a:prstGeom>
      </xdr:spPr>
    </xdr:pic>
  </etc:cellImage>
  <etc:cellImage>
    <xdr:pic>
      <xdr:nvPicPr>
        <xdr:cNvPr id="572" name="ID_A0E34F806ACC4F2F91E4F79F34A5108B" descr="Picture"/>
        <xdr:cNvPicPr/>
      </xdr:nvPicPr>
      <xdr:blipFill>
        <a:blip r:embed="rId570" cstate="print"/>
        <a:stretch>
          <a:fillRect/>
        </a:stretch>
      </xdr:blipFill>
      <xdr:spPr>
        <a:xfrm>
          <a:off x="0" y="398316450"/>
          <a:ext cx="619125" cy="676275"/>
        </a:xfrm>
        <a:prstGeom prst="rect">
          <a:avLst/>
        </a:prstGeom>
      </xdr:spPr>
    </xdr:pic>
  </etc:cellImage>
  <etc:cellImage>
    <xdr:pic>
      <xdr:nvPicPr>
        <xdr:cNvPr id="573" name="ID_BF11ED0FA1C84C77A77DC367281B1ABF" descr="Picture"/>
        <xdr:cNvPicPr/>
      </xdr:nvPicPr>
      <xdr:blipFill>
        <a:blip r:embed="rId571" cstate="print"/>
        <a:stretch>
          <a:fillRect/>
        </a:stretch>
      </xdr:blipFill>
      <xdr:spPr>
        <a:xfrm>
          <a:off x="0" y="399014950"/>
          <a:ext cx="619125" cy="676275"/>
        </a:xfrm>
        <a:prstGeom prst="rect">
          <a:avLst/>
        </a:prstGeom>
      </xdr:spPr>
    </xdr:pic>
  </etc:cellImage>
  <etc:cellImage>
    <xdr:pic>
      <xdr:nvPicPr>
        <xdr:cNvPr id="574" name="ID_91EB101BCE054B69BF017A2423479D40" descr="Picture"/>
        <xdr:cNvPicPr/>
      </xdr:nvPicPr>
      <xdr:blipFill>
        <a:blip r:embed="rId572" cstate="print"/>
        <a:stretch>
          <a:fillRect/>
        </a:stretch>
      </xdr:blipFill>
      <xdr:spPr>
        <a:xfrm>
          <a:off x="0" y="399713450"/>
          <a:ext cx="619125" cy="676275"/>
        </a:xfrm>
        <a:prstGeom prst="rect">
          <a:avLst/>
        </a:prstGeom>
      </xdr:spPr>
    </xdr:pic>
  </etc:cellImage>
  <etc:cellImage>
    <xdr:pic>
      <xdr:nvPicPr>
        <xdr:cNvPr id="575" name="ID_6FE6E28ECE71437ABBADF3B3E3D9D1B6" descr="Picture"/>
        <xdr:cNvPicPr/>
      </xdr:nvPicPr>
      <xdr:blipFill>
        <a:blip r:embed="rId573" cstate="print"/>
        <a:stretch>
          <a:fillRect/>
        </a:stretch>
      </xdr:blipFill>
      <xdr:spPr>
        <a:xfrm>
          <a:off x="0" y="400411950"/>
          <a:ext cx="619125" cy="676275"/>
        </a:xfrm>
        <a:prstGeom prst="rect">
          <a:avLst/>
        </a:prstGeom>
      </xdr:spPr>
    </xdr:pic>
  </etc:cellImage>
  <etc:cellImage>
    <xdr:pic>
      <xdr:nvPicPr>
        <xdr:cNvPr id="576" name="ID_17056F32104E4E5B854A6B8E257D2707" descr="Picture"/>
        <xdr:cNvPicPr/>
      </xdr:nvPicPr>
      <xdr:blipFill>
        <a:blip r:embed="rId574" cstate="print"/>
        <a:stretch>
          <a:fillRect/>
        </a:stretch>
      </xdr:blipFill>
      <xdr:spPr>
        <a:xfrm>
          <a:off x="0" y="401110450"/>
          <a:ext cx="619125" cy="676275"/>
        </a:xfrm>
        <a:prstGeom prst="rect">
          <a:avLst/>
        </a:prstGeom>
      </xdr:spPr>
    </xdr:pic>
  </etc:cellImage>
  <etc:cellImage>
    <xdr:pic>
      <xdr:nvPicPr>
        <xdr:cNvPr id="577" name="ID_6F0C680927C74342933653AF9380D1A2" descr="Picture"/>
        <xdr:cNvPicPr/>
      </xdr:nvPicPr>
      <xdr:blipFill>
        <a:blip r:embed="rId575" cstate="print"/>
        <a:stretch>
          <a:fillRect/>
        </a:stretch>
      </xdr:blipFill>
      <xdr:spPr>
        <a:xfrm>
          <a:off x="0" y="401808950"/>
          <a:ext cx="619125" cy="676275"/>
        </a:xfrm>
        <a:prstGeom prst="rect">
          <a:avLst/>
        </a:prstGeom>
      </xdr:spPr>
    </xdr:pic>
  </etc:cellImage>
  <etc:cellImage>
    <xdr:pic>
      <xdr:nvPicPr>
        <xdr:cNvPr id="578" name="ID_11A78CA245BB4182A7328E0254C0BC37" descr="Picture"/>
        <xdr:cNvPicPr/>
      </xdr:nvPicPr>
      <xdr:blipFill>
        <a:blip r:embed="rId576" cstate="print"/>
        <a:stretch>
          <a:fillRect/>
        </a:stretch>
      </xdr:blipFill>
      <xdr:spPr>
        <a:xfrm>
          <a:off x="0" y="402507450"/>
          <a:ext cx="619125" cy="676275"/>
        </a:xfrm>
        <a:prstGeom prst="rect">
          <a:avLst/>
        </a:prstGeom>
      </xdr:spPr>
    </xdr:pic>
  </etc:cellImage>
  <etc:cellImage>
    <xdr:pic>
      <xdr:nvPicPr>
        <xdr:cNvPr id="579" name="ID_F36D3F0AE2F24E1388518A8EDFE9B905" descr="Picture"/>
        <xdr:cNvPicPr/>
      </xdr:nvPicPr>
      <xdr:blipFill>
        <a:blip r:embed="rId577" cstate="print"/>
        <a:stretch>
          <a:fillRect/>
        </a:stretch>
      </xdr:blipFill>
      <xdr:spPr>
        <a:xfrm>
          <a:off x="0" y="403205950"/>
          <a:ext cx="619125" cy="676275"/>
        </a:xfrm>
        <a:prstGeom prst="rect">
          <a:avLst/>
        </a:prstGeom>
      </xdr:spPr>
    </xdr:pic>
  </etc:cellImage>
  <etc:cellImage>
    <xdr:pic>
      <xdr:nvPicPr>
        <xdr:cNvPr id="580" name="ID_64F278C38A2B48DCA98B1182F4E425D1" descr="Picture"/>
        <xdr:cNvPicPr/>
      </xdr:nvPicPr>
      <xdr:blipFill>
        <a:blip r:embed="rId578" cstate="print"/>
        <a:stretch>
          <a:fillRect/>
        </a:stretch>
      </xdr:blipFill>
      <xdr:spPr>
        <a:xfrm>
          <a:off x="0" y="403904450"/>
          <a:ext cx="619125" cy="676275"/>
        </a:xfrm>
        <a:prstGeom prst="rect">
          <a:avLst/>
        </a:prstGeom>
      </xdr:spPr>
    </xdr:pic>
  </etc:cellImage>
  <etc:cellImage>
    <xdr:pic>
      <xdr:nvPicPr>
        <xdr:cNvPr id="581" name="ID_EF07062E44F54D759C8FEDAA007F0B70" descr="Picture"/>
        <xdr:cNvPicPr/>
      </xdr:nvPicPr>
      <xdr:blipFill>
        <a:blip r:embed="rId579" cstate="print"/>
        <a:stretch>
          <a:fillRect/>
        </a:stretch>
      </xdr:blipFill>
      <xdr:spPr>
        <a:xfrm>
          <a:off x="0" y="404602950"/>
          <a:ext cx="619125" cy="676275"/>
        </a:xfrm>
        <a:prstGeom prst="rect">
          <a:avLst/>
        </a:prstGeom>
      </xdr:spPr>
    </xdr:pic>
  </etc:cellImage>
  <etc:cellImage>
    <xdr:pic>
      <xdr:nvPicPr>
        <xdr:cNvPr id="582" name="ID_4C59C520B03744D8B2E6544503007A00" descr="Picture"/>
        <xdr:cNvPicPr/>
      </xdr:nvPicPr>
      <xdr:blipFill>
        <a:blip r:embed="rId580" cstate="print"/>
        <a:stretch>
          <a:fillRect/>
        </a:stretch>
      </xdr:blipFill>
      <xdr:spPr>
        <a:xfrm>
          <a:off x="0" y="405301450"/>
          <a:ext cx="619125" cy="676275"/>
        </a:xfrm>
        <a:prstGeom prst="rect">
          <a:avLst/>
        </a:prstGeom>
      </xdr:spPr>
    </xdr:pic>
  </etc:cellImage>
  <etc:cellImage>
    <xdr:pic>
      <xdr:nvPicPr>
        <xdr:cNvPr id="583" name="ID_72BBF96350EB481FB5F87B5779390386" descr="Picture"/>
        <xdr:cNvPicPr/>
      </xdr:nvPicPr>
      <xdr:blipFill>
        <a:blip r:embed="rId581" cstate="print"/>
        <a:stretch>
          <a:fillRect/>
        </a:stretch>
      </xdr:blipFill>
      <xdr:spPr>
        <a:xfrm>
          <a:off x="0" y="405999950"/>
          <a:ext cx="619125" cy="676275"/>
        </a:xfrm>
        <a:prstGeom prst="rect">
          <a:avLst/>
        </a:prstGeom>
      </xdr:spPr>
    </xdr:pic>
  </etc:cellImage>
  <etc:cellImage>
    <xdr:pic>
      <xdr:nvPicPr>
        <xdr:cNvPr id="584" name="ID_2E3D89E817E44DC7B3EF533BA7C8BED3" descr="Picture"/>
        <xdr:cNvPicPr/>
      </xdr:nvPicPr>
      <xdr:blipFill>
        <a:blip r:embed="rId582" cstate="print"/>
        <a:stretch>
          <a:fillRect/>
        </a:stretch>
      </xdr:blipFill>
      <xdr:spPr>
        <a:xfrm>
          <a:off x="0" y="406698450"/>
          <a:ext cx="619125" cy="676275"/>
        </a:xfrm>
        <a:prstGeom prst="rect">
          <a:avLst/>
        </a:prstGeom>
      </xdr:spPr>
    </xdr:pic>
  </etc:cellImage>
  <etc:cellImage>
    <xdr:pic>
      <xdr:nvPicPr>
        <xdr:cNvPr id="585" name="ID_5D114E5B7C4647ECB17CEB6F0648AB51" descr="Picture"/>
        <xdr:cNvPicPr/>
      </xdr:nvPicPr>
      <xdr:blipFill>
        <a:blip r:embed="rId583" cstate="print"/>
        <a:stretch>
          <a:fillRect/>
        </a:stretch>
      </xdr:blipFill>
      <xdr:spPr>
        <a:xfrm>
          <a:off x="0" y="407396950"/>
          <a:ext cx="619125" cy="676275"/>
        </a:xfrm>
        <a:prstGeom prst="rect">
          <a:avLst/>
        </a:prstGeom>
      </xdr:spPr>
    </xdr:pic>
  </etc:cellImage>
  <etc:cellImage>
    <xdr:pic>
      <xdr:nvPicPr>
        <xdr:cNvPr id="586" name="ID_EE769814B50E4EA8928848300B3CDCE8" descr="Picture"/>
        <xdr:cNvPicPr/>
      </xdr:nvPicPr>
      <xdr:blipFill>
        <a:blip r:embed="rId584" cstate="print"/>
        <a:stretch>
          <a:fillRect/>
        </a:stretch>
      </xdr:blipFill>
      <xdr:spPr>
        <a:xfrm>
          <a:off x="0" y="408095450"/>
          <a:ext cx="619125" cy="676275"/>
        </a:xfrm>
        <a:prstGeom prst="rect">
          <a:avLst/>
        </a:prstGeom>
      </xdr:spPr>
    </xdr:pic>
  </etc:cellImage>
  <etc:cellImage>
    <xdr:pic>
      <xdr:nvPicPr>
        <xdr:cNvPr id="587" name="ID_AD814E9E07834293B6AA5E02AB54F372" descr="Picture"/>
        <xdr:cNvPicPr/>
      </xdr:nvPicPr>
      <xdr:blipFill>
        <a:blip r:embed="rId585" cstate="print"/>
        <a:stretch>
          <a:fillRect/>
        </a:stretch>
      </xdr:blipFill>
      <xdr:spPr>
        <a:xfrm>
          <a:off x="0" y="408793950"/>
          <a:ext cx="619125" cy="676275"/>
        </a:xfrm>
        <a:prstGeom prst="rect">
          <a:avLst/>
        </a:prstGeom>
      </xdr:spPr>
    </xdr:pic>
  </etc:cellImage>
  <etc:cellImage>
    <xdr:pic>
      <xdr:nvPicPr>
        <xdr:cNvPr id="588" name="ID_0377670579C64BB9A23393338F0B164C" descr="Picture"/>
        <xdr:cNvPicPr/>
      </xdr:nvPicPr>
      <xdr:blipFill>
        <a:blip r:embed="rId586" cstate="print"/>
        <a:stretch>
          <a:fillRect/>
        </a:stretch>
      </xdr:blipFill>
      <xdr:spPr>
        <a:xfrm>
          <a:off x="0" y="409492450"/>
          <a:ext cx="619125" cy="676275"/>
        </a:xfrm>
        <a:prstGeom prst="rect">
          <a:avLst/>
        </a:prstGeom>
      </xdr:spPr>
    </xdr:pic>
  </etc:cellImage>
  <etc:cellImage>
    <xdr:pic>
      <xdr:nvPicPr>
        <xdr:cNvPr id="589" name="ID_25BFAF4DE7C947BCAA466DBCC9D2C4E5" descr="Picture"/>
        <xdr:cNvPicPr/>
      </xdr:nvPicPr>
      <xdr:blipFill>
        <a:blip r:embed="rId587" cstate="print"/>
        <a:stretch>
          <a:fillRect/>
        </a:stretch>
      </xdr:blipFill>
      <xdr:spPr>
        <a:xfrm>
          <a:off x="0" y="410190950"/>
          <a:ext cx="619125" cy="676275"/>
        </a:xfrm>
        <a:prstGeom prst="rect">
          <a:avLst/>
        </a:prstGeom>
      </xdr:spPr>
    </xdr:pic>
  </etc:cellImage>
  <etc:cellImage>
    <xdr:pic>
      <xdr:nvPicPr>
        <xdr:cNvPr id="590" name="ID_74A1F856388A41FDA7BAD4C0CFBE8A42" descr="Picture"/>
        <xdr:cNvPicPr/>
      </xdr:nvPicPr>
      <xdr:blipFill>
        <a:blip r:embed="rId588" cstate="print"/>
        <a:stretch>
          <a:fillRect/>
        </a:stretch>
      </xdr:blipFill>
      <xdr:spPr>
        <a:xfrm>
          <a:off x="0" y="410889450"/>
          <a:ext cx="619125" cy="676275"/>
        </a:xfrm>
        <a:prstGeom prst="rect">
          <a:avLst/>
        </a:prstGeom>
      </xdr:spPr>
    </xdr:pic>
  </etc:cellImage>
  <etc:cellImage>
    <xdr:pic>
      <xdr:nvPicPr>
        <xdr:cNvPr id="591" name="ID_C13440C9C84D427DB850D3EA0345F948" descr="Picture"/>
        <xdr:cNvPicPr/>
      </xdr:nvPicPr>
      <xdr:blipFill>
        <a:blip r:embed="rId589" cstate="print"/>
        <a:stretch>
          <a:fillRect/>
        </a:stretch>
      </xdr:blipFill>
      <xdr:spPr>
        <a:xfrm>
          <a:off x="0" y="411587950"/>
          <a:ext cx="619125" cy="676275"/>
        </a:xfrm>
        <a:prstGeom prst="rect">
          <a:avLst/>
        </a:prstGeom>
      </xdr:spPr>
    </xdr:pic>
  </etc:cellImage>
  <etc:cellImage>
    <xdr:pic>
      <xdr:nvPicPr>
        <xdr:cNvPr id="592" name="ID_06B48AE26F634639A5E19AFB9ABCC242" descr="Picture"/>
        <xdr:cNvPicPr/>
      </xdr:nvPicPr>
      <xdr:blipFill>
        <a:blip r:embed="rId590" cstate="print"/>
        <a:stretch>
          <a:fillRect/>
        </a:stretch>
      </xdr:blipFill>
      <xdr:spPr>
        <a:xfrm>
          <a:off x="0" y="412286450"/>
          <a:ext cx="619125" cy="676275"/>
        </a:xfrm>
        <a:prstGeom prst="rect">
          <a:avLst/>
        </a:prstGeom>
      </xdr:spPr>
    </xdr:pic>
  </etc:cellImage>
  <etc:cellImage>
    <xdr:pic>
      <xdr:nvPicPr>
        <xdr:cNvPr id="593" name="ID_84C1277CD03F4B92AE779C2F523886F8" descr="Picture"/>
        <xdr:cNvPicPr/>
      </xdr:nvPicPr>
      <xdr:blipFill>
        <a:blip r:embed="rId591" cstate="print"/>
        <a:stretch>
          <a:fillRect/>
        </a:stretch>
      </xdr:blipFill>
      <xdr:spPr>
        <a:xfrm>
          <a:off x="0" y="412984950"/>
          <a:ext cx="619125" cy="676275"/>
        </a:xfrm>
        <a:prstGeom prst="rect">
          <a:avLst/>
        </a:prstGeom>
      </xdr:spPr>
    </xdr:pic>
  </etc:cellImage>
  <etc:cellImage>
    <xdr:pic>
      <xdr:nvPicPr>
        <xdr:cNvPr id="594" name="ID_F207BB16C8DB494C976126DA58E97034" descr="Picture"/>
        <xdr:cNvPicPr/>
      </xdr:nvPicPr>
      <xdr:blipFill>
        <a:blip r:embed="rId592" cstate="print"/>
        <a:stretch>
          <a:fillRect/>
        </a:stretch>
      </xdr:blipFill>
      <xdr:spPr>
        <a:xfrm>
          <a:off x="0" y="413683450"/>
          <a:ext cx="619125" cy="676275"/>
        </a:xfrm>
        <a:prstGeom prst="rect">
          <a:avLst/>
        </a:prstGeom>
      </xdr:spPr>
    </xdr:pic>
  </etc:cellImage>
  <etc:cellImage>
    <xdr:pic>
      <xdr:nvPicPr>
        <xdr:cNvPr id="595" name="ID_4D3D261B3E824D2AA1D8170A315C7C3E" descr="Picture"/>
        <xdr:cNvPicPr/>
      </xdr:nvPicPr>
      <xdr:blipFill>
        <a:blip r:embed="rId593" cstate="print"/>
        <a:stretch>
          <a:fillRect/>
        </a:stretch>
      </xdr:blipFill>
      <xdr:spPr>
        <a:xfrm>
          <a:off x="0" y="414381950"/>
          <a:ext cx="619125" cy="676275"/>
        </a:xfrm>
        <a:prstGeom prst="rect">
          <a:avLst/>
        </a:prstGeom>
      </xdr:spPr>
    </xdr:pic>
  </etc:cellImage>
  <etc:cellImage>
    <xdr:pic>
      <xdr:nvPicPr>
        <xdr:cNvPr id="596" name="ID_BD861546E60148BB8D86F44321DBA7B9" descr="Picture"/>
        <xdr:cNvPicPr/>
      </xdr:nvPicPr>
      <xdr:blipFill>
        <a:blip r:embed="rId594" cstate="print"/>
        <a:stretch>
          <a:fillRect/>
        </a:stretch>
      </xdr:blipFill>
      <xdr:spPr>
        <a:xfrm>
          <a:off x="0" y="415080450"/>
          <a:ext cx="619125" cy="676275"/>
        </a:xfrm>
        <a:prstGeom prst="rect">
          <a:avLst/>
        </a:prstGeom>
      </xdr:spPr>
    </xdr:pic>
  </etc:cellImage>
  <etc:cellImage>
    <xdr:pic>
      <xdr:nvPicPr>
        <xdr:cNvPr id="597" name="ID_A6B01E4D1832451F959E69B2C71419C3" descr="Picture"/>
        <xdr:cNvPicPr/>
      </xdr:nvPicPr>
      <xdr:blipFill>
        <a:blip r:embed="rId595" cstate="print"/>
        <a:stretch>
          <a:fillRect/>
        </a:stretch>
      </xdr:blipFill>
      <xdr:spPr>
        <a:xfrm>
          <a:off x="0" y="415778950"/>
          <a:ext cx="619125" cy="676275"/>
        </a:xfrm>
        <a:prstGeom prst="rect">
          <a:avLst/>
        </a:prstGeom>
      </xdr:spPr>
    </xdr:pic>
  </etc:cellImage>
  <etc:cellImage>
    <xdr:pic>
      <xdr:nvPicPr>
        <xdr:cNvPr id="598" name="ID_53740C4B0DDF4D86878ACB486C96422A" descr="Picture"/>
        <xdr:cNvPicPr/>
      </xdr:nvPicPr>
      <xdr:blipFill>
        <a:blip r:embed="rId596" cstate="print"/>
        <a:stretch>
          <a:fillRect/>
        </a:stretch>
      </xdr:blipFill>
      <xdr:spPr>
        <a:xfrm>
          <a:off x="0" y="416477450"/>
          <a:ext cx="619125" cy="676275"/>
        </a:xfrm>
        <a:prstGeom prst="rect">
          <a:avLst/>
        </a:prstGeom>
      </xdr:spPr>
    </xdr:pic>
  </etc:cellImage>
  <etc:cellImage>
    <xdr:pic>
      <xdr:nvPicPr>
        <xdr:cNvPr id="599" name="ID_12061399817C4DF4BAF3D2ECC5E53DCC" descr="Picture"/>
        <xdr:cNvPicPr/>
      </xdr:nvPicPr>
      <xdr:blipFill>
        <a:blip r:embed="rId597" cstate="print"/>
        <a:stretch>
          <a:fillRect/>
        </a:stretch>
      </xdr:blipFill>
      <xdr:spPr>
        <a:xfrm>
          <a:off x="0" y="417175950"/>
          <a:ext cx="619125" cy="676275"/>
        </a:xfrm>
        <a:prstGeom prst="rect">
          <a:avLst/>
        </a:prstGeom>
      </xdr:spPr>
    </xdr:pic>
  </etc:cellImage>
  <etc:cellImage>
    <xdr:pic>
      <xdr:nvPicPr>
        <xdr:cNvPr id="600" name="ID_594E4FB9A7904D8B9301027A4088BF68" descr="Picture"/>
        <xdr:cNvPicPr/>
      </xdr:nvPicPr>
      <xdr:blipFill>
        <a:blip r:embed="rId598" cstate="print"/>
        <a:stretch>
          <a:fillRect/>
        </a:stretch>
      </xdr:blipFill>
      <xdr:spPr>
        <a:xfrm>
          <a:off x="0" y="417874450"/>
          <a:ext cx="619125" cy="676275"/>
        </a:xfrm>
        <a:prstGeom prst="rect">
          <a:avLst/>
        </a:prstGeom>
      </xdr:spPr>
    </xdr:pic>
  </etc:cellImage>
  <etc:cellImage>
    <xdr:pic>
      <xdr:nvPicPr>
        <xdr:cNvPr id="601" name="ID_BBCCD52FC38347DAB9C4B4BE7215FA5A" descr="Picture"/>
        <xdr:cNvPicPr/>
      </xdr:nvPicPr>
      <xdr:blipFill>
        <a:blip r:embed="rId599" cstate="print"/>
        <a:stretch>
          <a:fillRect/>
        </a:stretch>
      </xdr:blipFill>
      <xdr:spPr>
        <a:xfrm>
          <a:off x="0" y="418572950"/>
          <a:ext cx="619125" cy="676275"/>
        </a:xfrm>
        <a:prstGeom prst="rect">
          <a:avLst/>
        </a:prstGeom>
      </xdr:spPr>
    </xdr:pic>
  </etc:cellImage>
  <etc:cellImage>
    <xdr:pic>
      <xdr:nvPicPr>
        <xdr:cNvPr id="602" name="ID_0F3A74F227C443D9B3987AC89ED4A1AB" descr="Picture"/>
        <xdr:cNvPicPr/>
      </xdr:nvPicPr>
      <xdr:blipFill>
        <a:blip r:embed="rId600" cstate="print"/>
        <a:stretch>
          <a:fillRect/>
        </a:stretch>
      </xdr:blipFill>
      <xdr:spPr>
        <a:xfrm>
          <a:off x="0" y="419271450"/>
          <a:ext cx="619125" cy="676275"/>
        </a:xfrm>
        <a:prstGeom prst="rect">
          <a:avLst/>
        </a:prstGeom>
      </xdr:spPr>
    </xdr:pic>
  </etc:cellImage>
  <etc:cellImage>
    <xdr:pic>
      <xdr:nvPicPr>
        <xdr:cNvPr id="603" name="ID_D7D1AC852549491E98B09A8D2DF5EEF4" descr="Picture"/>
        <xdr:cNvPicPr/>
      </xdr:nvPicPr>
      <xdr:blipFill>
        <a:blip r:embed="rId601" cstate="print"/>
        <a:stretch>
          <a:fillRect/>
        </a:stretch>
      </xdr:blipFill>
      <xdr:spPr>
        <a:xfrm>
          <a:off x="0" y="419969950"/>
          <a:ext cx="619125" cy="676275"/>
        </a:xfrm>
        <a:prstGeom prst="rect">
          <a:avLst/>
        </a:prstGeom>
      </xdr:spPr>
    </xdr:pic>
  </etc:cellImage>
  <etc:cellImage>
    <xdr:pic>
      <xdr:nvPicPr>
        <xdr:cNvPr id="604" name="ID_D9774BD05BB042AEB69718E924C4ABCE" descr="Picture"/>
        <xdr:cNvPicPr/>
      </xdr:nvPicPr>
      <xdr:blipFill>
        <a:blip r:embed="rId602" cstate="print"/>
        <a:stretch>
          <a:fillRect/>
        </a:stretch>
      </xdr:blipFill>
      <xdr:spPr>
        <a:xfrm>
          <a:off x="0" y="420668450"/>
          <a:ext cx="619125" cy="676275"/>
        </a:xfrm>
        <a:prstGeom prst="rect">
          <a:avLst/>
        </a:prstGeom>
      </xdr:spPr>
    </xdr:pic>
  </etc:cellImage>
  <etc:cellImage>
    <xdr:pic>
      <xdr:nvPicPr>
        <xdr:cNvPr id="605" name="ID_D846C5C341B6408789B8D0CD2BCAA2EB" descr="Picture"/>
        <xdr:cNvPicPr/>
      </xdr:nvPicPr>
      <xdr:blipFill>
        <a:blip r:embed="rId603" cstate="print"/>
        <a:stretch>
          <a:fillRect/>
        </a:stretch>
      </xdr:blipFill>
      <xdr:spPr>
        <a:xfrm>
          <a:off x="0" y="421366950"/>
          <a:ext cx="619125" cy="676275"/>
        </a:xfrm>
        <a:prstGeom prst="rect">
          <a:avLst/>
        </a:prstGeom>
      </xdr:spPr>
    </xdr:pic>
  </etc:cellImage>
  <etc:cellImage>
    <xdr:pic>
      <xdr:nvPicPr>
        <xdr:cNvPr id="606" name="ID_78FE3D81BB0B445B83389613A68CC590" descr="Picture"/>
        <xdr:cNvPicPr/>
      </xdr:nvPicPr>
      <xdr:blipFill>
        <a:blip r:embed="rId604" cstate="print"/>
        <a:stretch>
          <a:fillRect/>
        </a:stretch>
      </xdr:blipFill>
      <xdr:spPr>
        <a:xfrm>
          <a:off x="0" y="422065450"/>
          <a:ext cx="619125" cy="676275"/>
        </a:xfrm>
        <a:prstGeom prst="rect">
          <a:avLst/>
        </a:prstGeom>
      </xdr:spPr>
    </xdr:pic>
  </etc:cellImage>
  <etc:cellImage>
    <xdr:pic>
      <xdr:nvPicPr>
        <xdr:cNvPr id="607" name="ID_AABFFE23D7624A12AA18BE4E1BDB4200" descr="Picture"/>
        <xdr:cNvPicPr/>
      </xdr:nvPicPr>
      <xdr:blipFill>
        <a:blip r:embed="rId605" cstate="print"/>
        <a:stretch>
          <a:fillRect/>
        </a:stretch>
      </xdr:blipFill>
      <xdr:spPr>
        <a:xfrm>
          <a:off x="0" y="422763950"/>
          <a:ext cx="619125" cy="676275"/>
        </a:xfrm>
        <a:prstGeom prst="rect">
          <a:avLst/>
        </a:prstGeom>
      </xdr:spPr>
    </xdr:pic>
  </etc:cellImage>
  <etc:cellImage>
    <xdr:pic>
      <xdr:nvPicPr>
        <xdr:cNvPr id="608" name="ID_D289698D9CDD4095AC38D76F6B7877A6" descr="Picture"/>
        <xdr:cNvPicPr/>
      </xdr:nvPicPr>
      <xdr:blipFill>
        <a:blip r:embed="rId606" cstate="print"/>
        <a:stretch>
          <a:fillRect/>
        </a:stretch>
      </xdr:blipFill>
      <xdr:spPr>
        <a:xfrm>
          <a:off x="0" y="423462450"/>
          <a:ext cx="619125" cy="676275"/>
        </a:xfrm>
        <a:prstGeom prst="rect">
          <a:avLst/>
        </a:prstGeom>
      </xdr:spPr>
    </xdr:pic>
  </etc:cellImage>
  <etc:cellImage>
    <xdr:pic>
      <xdr:nvPicPr>
        <xdr:cNvPr id="609" name="ID_E1236E2F9CA14CFF8F88D0752AA0E575" descr="Picture"/>
        <xdr:cNvPicPr/>
      </xdr:nvPicPr>
      <xdr:blipFill>
        <a:blip r:embed="rId607" cstate="print"/>
        <a:stretch>
          <a:fillRect/>
        </a:stretch>
      </xdr:blipFill>
      <xdr:spPr>
        <a:xfrm>
          <a:off x="0" y="424160950"/>
          <a:ext cx="619125" cy="676275"/>
        </a:xfrm>
        <a:prstGeom prst="rect">
          <a:avLst/>
        </a:prstGeom>
      </xdr:spPr>
    </xdr:pic>
  </etc:cellImage>
  <etc:cellImage>
    <xdr:pic>
      <xdr:nvPicPr>
        <xdr:cNvPr id="610" name="ID_C478D2B32E6B40A5BABC90A5D59F26FB" descr="Picture"/>
        <xdr:cNvPicPr/>
      </xdr:nvPicPr>
      <xdr:blipFill>
        <a:blip r:embed="rId608" cstate="print"/>
        <a:stretch>
          <a:fillRect/>
        </a:stretch>
      </xdr:blipFill>
      <xdr:spPr>
        <a:xfrm>
          <a:off x="0" y="424859450"/>
          <a:ext cx="619125" cy="676275"/>
        </a:xfrm>
        <a:prstGeom prst="rect">
          <a:avLst/>
        </a:prstGeom>
      </xdr:spPr>
    </xdr:pic>
  </etc:cellImage>
  <etc:cellImage>
    <xdr:pic>
      <xdr:nvPicPr>
        <xdr:cNvPr id="611" name="ID_E3C6B973F6C64E7BB89D5FBCF82A074D" descr="Picture"/>
        <xdr:cNvPicPr/>
      </xdr:nvPicPr>
      <xdr:blipFill>
        <a:blip r:embed="rId609" cstate="print"/>
        <a:stretch>
          <a:fillRect/>
        </a:stretch>
      </xdr:blipFill>
      <xdr:spPr>
        <a:xfrm>
          <a:off x="0" y="425557950"/>
          <a:ext cx="619125" cy="676275"/>
        </a:xfrm>
        <a:prstGeom prst="rect">
          <a:avLst/>
        </a:prstGeom>
      </xdr:spPr>
    </xdr:pic>
  </etc:cellImage>
  <etc:cellImage>
    <xdr:pic>
      <xdr:nvPicPr>
        <xdr:cNvPr id="612" name="ID_15E32CAC596448EBB6053098D67D805F" descr="Picture"/>
        <xdr:cNvPicPr/>
      </xdr:nvPicPr>
      <xdr:blipFill>
        <a:blip r:embed="rId610" cstate="print"/>
        <a:stretch>
          <a:fillRect/>
        </a:stretch>
      </xdr:blipFill>
      <xdr:spPr>
        <a:xfrm>
          <a:off x="0" y="426256450"/>
          <a:ext cx="619125" cy="676275"/>
        </a:xfrm>
        <a:prstGeom prst="rect">
          <a:avLst/>
        </a:prstGeom>
      </xdr:spPr>
    </xdr:pic>
  </etc:cellImage>
  <etc:cellImage>
    <xdr:pic>
      <xdr:nvPicPr>
        <xdr:cNvPr id="613" name="ID_A7D8ECFA22554DB698037819D93B7174" descr="Picture"/>
        <xdr:cNvPicPr/>
      </xdr:nvPicPr>
      <xdr:blipFill>
        <a:blip r:embed="rId611" cstate="print"/>
        <a:stretch>
          <a:fillRect/>
        </a:stretch>
      </xdr:blipFill>
      <xdr:spPr>
        <a:xfrm>
          <a:off x="0" y="426954950"/>
          <a:ext cx="619125" cy="676275"/>
        </a:xfrm>
        <a:prstGeom prst="rect">
          <a:avLst/>
        </a:prstGeom>
      </xdr:spPr>
    </xdr:pic>
  </etc:cellImage>
  <etc:cellImage>
    <xdr:pic>
      <xdr:nvPicPr>
        <xdr:cNvPr id="614" name="ID_3B961706CA9845E6B17542A9C1AC21D3" descr="Picture"/>
        <xdr:cNvPicPr/>
      </xdr:nvPicPr>
      <xdr:blipFill>
        <a:blip r:embed="rId612" cstate="print"/>
        <a:stretch>
          <a:fillRect/>
        </a:stretch>
      </xdr:blipFill>
      <xdr:spPr>
        <a:xfrm>
          <a:off x="0" y="427653450"/>
          <a:ext cx="619125" cy="676275"/>
        </a:xfrm>
        <a:prstGeom prst="rect">
          <a:avLst/>
        </a:prstGeom>
      </xdr:spPr>
    </xdr:pic>
  </etc:cellImage>
  <etc:cellImage>
    <xdr:pic>
      <xdr:nvPicPr>
        <xdr:cNvPr id="615" name="ID_D89B61E031A748A48D180B6F3AD8E2F4" descr="Picture"/>
        <xdr:cNvPicPr/>
      </xdr:nvPicPr>
      <xdr:blipFill>
        <a:blip r:embed="rId613" cstate="print"/>
        <a:stretch>
          <a:fillRect/>
        </a:stretch>
      </xdr:blipFill>
      <xdr:spPr>
        <a:xfrm>
          <a:off x="0" y="428351950"/>
          <a:ext cx="619125" cy="676275"/>
        </a:xfrm>
        <a:prstGeom prst="rect">
          <a:avLst/>
        </a:prstGeom>
      </xdr:spPr>
    </xdr:pic>
  </etc:cellImage>
  <etc:cellImage>
    <xdr:pic>
      <xdr:nvPicPr>
        <xdr:cNvPr id="616" name="ID_23C56BC03E5B47D5B10727534BB31F51" descr="Picture"/>
        <xdr:cNvPicPr/>
      </xdr:nvPicPr>
      <xdr:blipFill>
        <a:blip r:embed="rId614" cstate="print"/>
        <a:stretch>
          <a:fillRect/>
        </a:stretch>
      </xdr:blipFill>
      <xdr:spPr>
        <a:xfrm>
          <a:off x="0" y="429050450"/>
          <a:ext cx="619125" cy="676275"/>
        </a:xfrm>
        <a:prstGeom prst="rect">
          <a:avLst/>
        </a:prstGeom>
      </xdr:spPr>
    </xdr:pic>
  </etc:cellImage>
  <etc:cellImage>
    <xdr:pic>
      <xdr:nvPicPr>
        <xdr:cNvPr id="617" name="ID_3AD4F9EFC6C046F6AF7EB75CBA518E4C" descr="Picture"/>
        <xdr:cNvPicPr/>
      </xdr:nvPicPr>
      <xdr:blipFill>
        <a:blip r:embed="rId615" cstate="print"/>
        <a:stretch>
          <a:fillRect/>
        </a:stretch>
      </xdr:blipFill>
      <xdr:spPr>
        <a:xfrm>
          <a:off x="0" y="429748950"/>
          <a:ext cx="619125" cy="676275"/>
        </a:xfrm>
        <a:prstGeom prst="rect">
          <a:avLst/>
        </a:prstGeom>
      </xdr:spPr>
    </xdr:pic>
  </etc:cellImage>
  <etc:cellImage>
    <xdr:pic>
      <xdr:nvPicPr>
        <xdr:cNvPr id="618" name="ID_132D933FEED74199877C42B433EC0B4A" descr="Picture"/>
        <xdr:cNvPicPr/>
      </xdr:nvPicPr>
      <xdr:blipFill>
        <a:blip r:embed="rId616" cstate="print"/>
        <a:stretch>
          <a:fillRect/>
        </a:stretch>
      </xdr:blipFill>
      <xdr:spPr>
        <a:xfrm>
          <a:off x="0" y="430447450"/>
          <a:ext cx="619125" cy="676275"/>
        </a:xfrm>
        <a:prstGeom prst="rect">
          <a:avLst/>
        </a:prstGeom>
      </xdr:spPr>
    </xdr:pic>
  </etc:cellImage>
  <etc:cellImage>
    <xdr:pic>
      <xdr:nvPicPr>
        <xdr:cNvPr id="619" name="ID_E9C222C4EFCF407FBEE457480CF35025" descr="Picture"/>
        <xdr:cNvPicPr/>
      </xdr:nvPicPr>
      <xdr:blipFill>
        <a:blip r:embed="rId617" cstate="print"/>
        <a:stretch>
          <a:fillRect/>
        </a:stretch>
      </xdr:blipFill>
      <xdr:spPr>
        <a:xfrm>
          <a:off x="0" y="431145950"/>
          <a:ext cx="619125" cy="676275"/>
        </a:xfrm>
        <a:prstGeom prst="rect">
          <a:avLst/>
        </a:prstGeom>
      </xdr:spPr>
    </xdr:pic>
  </etc:cellImage>
  <etc:cellImage>
    <xdr:pic>
      <xdr:nvPicPr>
        <xdr:cNvPr id="620" name="ID_BAC6CCAF31C04DC7885B2F2B6759C3DB" descr="Picture"/>
        <xdr:cNvPicPr/>
      </xdr:nvPicPr>
      <xdr:blipFill>
        <a:blip r:embed="rId618" cstate="print"/>
        <a:stretch>
          <a:fillRect/>
        </a:stretch>
      </xdr:blipFill>
      <xdr:spPr>
        <a:xfrm>
          <a:off x="0" y="431844450"/>
          <a:ext cx="619125" cy="676275"/>
        </a:xfrm>
        <a:prstGeom prst="rect">
          <a:avLst/>
        </a:prstGeom>
      </xdr:spPr>
    </xdr:pic>
  </etc:cellImage>
  <etc:cellImage>
    <xdr:pic>
      <xdr:nvPicPr>
        <xdr:cNvPr id="621" name="ID_32682C82FA0A44629D93D5BFE9B2E2FA" descr="Picture"/>
        <xdr:cNvPicPr/>
      </xdr:nvPicPr>
      <xdr:blipFill>
        <a:blip r:embed="rId619" cstate="print"/>
        <a:stretch>
          <a:fillRect/>
        </a:stretch>
      </xdr:blipFill>
      <xdr:spPr>
        <a:xfrm>
          <a:off x="0" y="432542950"/>
          <a:ext cx="619125" cy="676275"/>
        </a:xfrm>
        <a:prstGeom prst="rect">
          <a:avLst/>
        </a:prstGeom>
      </xdr:spPr>
    </xdr:pic>
  </etc:cellImage>
  <etc:cellImage>
    <xdr:pic>
      <xdr:nvPicPr>
        <xdr:cNvPr id="622" name="ID_2B38B5D005F54F6EA74E04FF32729D09" descr="Picture"/>
        <xdr:cNvPicPr/>
      </xdr:nvPicPr>
      <xdr:blipFill>
        <a:blip r:embed="rId620" cstate="print"/>
        <a:stretch>
          <a:fillRect/>
        </a:stretch>
      </xdr:blipFill>
      <xdr:spPr>
        <a:xfrm>
          <a:off x="0" y="433241450"/>
          <a:ext cx="619125" cy="676275"/>
        </a:xfrm>
        <a:prstGeom prst="rect">
          <a:avLst/>
        </a:prstGeom>
      </xdr:spPr>
    </xdr:pic>
  </etc:cellImage>
  <etc:cellImage>
    <xdr:pic>
      <xdr:nvPicPr>
        <xdr:cNvPr id="623" name="ID_DC0669F8067944489CCC51CD6C42138F" descr="Picture"/>
        <xdr:cNvPicPr/>
      </xdr:nvPicPr>
      <xdr:blipFill>
        <a:blip r:embed="rId621" cstate="print"/>
        <a:stretch>
          <a:fillRect/>
        </a:stretch>
      </xdr:blipFill>
      <xdr:spPr>
        <a:xfrm>
          <a:off x="0" y="433939950"/>
          <a:ext cx="619125" cy="676275"/>
        </a:xfrm>
        <a:prstGeom prst="rect">
          <a:avLst/>
        </a:prstGeom>
      </xdr:spPr>
    </xdr:pic>
  </etc:cellImage>
  <etc:cellImage>
    <xdr:pic>
      <xdr:nvPicPr>
        <xdr:cNvPr id="624" name="ID_A299E91A9D95428CA3FADF24E2E4E294" descr="Picture"/>
        <xdr:cNvPicPr/>
      </xdr:nvPicPr>
      <xdr:blipFill>
        <a:blip r:embed="rId622" cstate="print"/>
        <a:stretch>
          <a:fillRect/>
        </a:stretch>
      </xdr:blipFill>
      <xdr:spPr>
        <a:xfrm>
          <a:off x="0" y="434638450"/>
          <a:ext cx="619125" cy="676275"/>
        </a:xfrm>
        <a:prstGeom prst="rect">
          <a:avLst/>
        </a:prstGeom>
      </xdr:spPr>
    </xdr:pic>
  </etc:cellImage>
  <etc:cellImage>
    <xdr:pic>
      <xdr:nvPicPr>
        <xdr:cNvPr id="625" name="ID_BBB367C4088E495A85D8E47D7D1DAB29" descr="Picture"/>
        <xdr:cNvPicPr/>
      </xdr:nvPicPr>
      <xdr:blipFill>
        <a:blip r:embed="rId623" cstate="print"/>
        <a:stretch>
          <a:fillRect/>
        </a:stretch>
      </xdr:blipFill>
      <xdr:spPr>
        <a:xfrm>
          <a:off x="0" y="435336950"/>
          <a:ext cx="619125" cy="676275"/>
        </a:xfrm>
        <a:prstGeom prst="rect">
          <a:avLst/>
        </a:prstGeom>
      </xdr:spPr>
    </xdr:pic>
  </etc:cellImage>
  <etc:cellImage>
    <xdr:pic>
      <xdr:nvPicPr>
        <xdr:cNvPr id="626" name="ID_26C3D5FEA1654B4994A2FA6A088F2A4E" descr="Picture"/>
        <xdr:cNvPicPr/>
      </xdr:nvPicPr>
      <xdr:blipFill>
        <a:blip r:embed="rId624" cstate="print"/>
        <a:stretch>
          <a:fillRect/>
        </a:stretch>
      </xdr:blipFill>
      <xdr:spPr>
        <a:xfrm>
          <a:off x="0" y="436035450"/>
          <a:ext cx="619125" cy="676275"/>
        </a:xfrm>
        <a:prstGeom prst="rect">
          <a:avLst/>
        </a:prstGeom>
      </xdr:spPr>
    </xdr:pic>
  </etc:cellImage>
  <etc:cellImage>
    <xdr:pic>
      <xdr:nvPicPr>
        <xdr:cNvPr id="627" name="ID_99E96D8E369C4D4BB6D1EFC18C9C73E3" descr="Picture"/>
        <xdr:cNvPicPr/>
      </xdr:nvPicPr>
      <xdr:blipFill>
        <a:blip r:embed="rId625" cstate="print"/>
        <a:stretch>
          <a:fillRect/>
        </a:stretch>
      </xdr:blipFill>
      <xdr:spPr>
        <a:xfrm>
          <a:off x="0" y="436733950"/>
          <a:ext cx="619125" cy="676275"/>
        </a:xfrm>
        <a:prstGeom prst="rect">
          <a:avLst/>
        </a:prstGeom>
      </xdr:spPr>
    </xdr:pic>
  </etc:cellImage>
  <etc:cellImage>
    <xdr:pic>
      <xdr:nvPicPr>
        <xdr:cNvPr id="628" name="ID_1B645CEA4B9E4CA29A1FE7C06A141070" descr="Picture"/>
        <xdr:cNvPicPr/>
      </xdr:nvPicPr>
      <xdr:blipFill>
        <a:blip r:embed="rId626" cstate="print"/>
        <a:stretch>
          <a:fillRect/>
        </a:stretch>
      </xdr:blipFill>
      <xdr:spPr>
        <a:xfrm>
          <a:off x="0" y="437432450"/>
          <a:ext cx="619125" cy="676275"/>
        </a:xfrm>
        <a:prstGeom prst="rect">
          <a:avLst/>
        </a:prstGeom>
      </xdr:spPr>
    </xdr:pic>
  </etc:cellImage>
  <etc:cellImage>
    <xdr:pic>
      <xdr:nvPicPr>
        <xdr:cNvPr id="629" name="ID_24AB89CB9C784BE9AF0DF3BC2A2AD0DB" descr="Picture"/>
        <xdr:cNvPicPr/>
      </xdr:nvPicPr>
      <xdr:blipFill>
        <a:blip r:embed="rId627" cstate="print"/>
        <a:stretch>
          <a:fillRect/>
        </a:stretch>
      </xdr:blipFill>
      <xdr:spPr>
        <a:xfrm>
          <a:off x="0" y="438130950"/>
          <a:ext cx="619125" cy="676275"/>
        </a:xfrm>
        <a:prstGeom prst="rect">
          <a:avLst/>
        </a:prstGeom>
      </xdr:spPr>
    </xdr:pic>
  </etc:cellImage>
  <etc:cellImage>
    <xdr:pic>
      <xdr:nvPicPr>
        <xdr:cNvPr id="630" name="ID_EF50C9DD19C042C2904CC4BB44621A57" descr="Picture"/>
        <xdr:cNvPicPr/>
      </xdr:nvPicPr>
      <xdr:blipFill>
        <a:blip r:embed="rId628" cstate="print"/>
        <a:stretch>
          <a:fillRect/>
        </a:stretch>
      </xdr:blipFill>
      <xdr:spPr>
        <a:xfrm>
          <a:off x="0" y="438829450"/>
          <a:ext cx="619125" cy="676275"/>
        </a:xfrm>
        <a:prstGeom prst="rect">
          <a:avLst/>
        </a:prstGeom>
      </xdr:spPr>
    </xdr:pic>
  </etc:cellImage>
  <etc:cellImage>
    <xdr:pic>
      <xdr:nvPicPr>
        <xdr:cNvPr id="631" name="ID_766553606A0C4A1BBAD5B4D9FE809D05" descr="Picture"/>
        <xdr:cNvPicPr/>
      </xdr:nvPicPr>
      <xdr:blipFill>
        <a:blip r:embed="rId629" cstate="print"/>
        <a:stretch>
          <a:fillRect/>
        </a:stretch>
      </xdr:blipFill>
      <xdr:spPr>
        <a:xfrm>
          <a:off x="0" y="439527950"/>
          <a:ext cx="619125" cy="676275"/>
        </a:xfrm>
        <a:prstGeom prst="rect">
          <a:avLst/>
        </a:prstGeom>
      </xdr:spPr>
    </xdr:pic>
  </etc:cellImage>
  <etc:cellImage>
    <xdr:pic>
      <xdr:nvPicPr>
        <xdr:cNvPr id="632" name="ID_12645745AA294AE68E25856D62D4F8D0" descr="Picture"/>
        <xdr:cNvPicPr/>
      </xdr:nvPicPr>
      <xdr:blipFill>
        <a:blip r:embed="rId630" cstate="print"/>
        <a:stretch>
          <a:fillRect/>
        </a:stretch>
      </xdr:blipFill>
      <xdr:spPr>
        <a:xfrm>
          <a:off x="0" y="440226450"/>
          <a:ext cx="619125" cy="676275"/>
        </a:xfrm>
        <a:prstGeom prst="rect">
          <a:avLst/>
        </a:prstGeom>
      </xdr:spPr>
    </xdr:pic>
  </etc:cellImage>
  <etc:cellImage>
    <xdr:pic>
      <xdr:nvPicPr>
        <xdr:cNvPr id="633" name="ID_177FC218626B48A0BFB63956C59E23EC" descr="Picture"/>
        <xdr:cNvPicPr/>
      </xdr:nvPicPr>
      <xdr:blipFill>
        <a:blip r:embed="rId631" cstate="print"/>
        <a:stretch>
          <a:fillRect/>
        </a:stretch>
      </xdr:blipFill>
      <xdr:spPr>
        <a:xfrm>
          <a:off x="0" y="440924950"/>
          <a:ext cx="619125" cy="676275"/>
        </a:xfrm>
        <a:prstGeom prst="rect">
          <a:avLst/>
        </a:prstGeom>
      </xdr:spPr>
    </xdr:pic>
  </etc:cellImage>
  <etc:cellImage>
    <xdr:pic>
      <xdr:nvPicPr>
        <xdr:cNvPr id="634" name="ID_E040CC947C0F4E44B52E574B803D97B9" descr="Picture"/>
        <xdr:cNvPicPr/>
      </xdr:nvPicPr>
      <xdr:blipFill>
        <a:blip r:embed="rId632" cstate="print"/>
        <a:stretch>
          <a:fillRect/>
        </a:stretch>
      </xdr:blipFill>
      <xdr:spPr>
        <a:xfrm>
          <a:off x="0" y="441623450"/>
          <a:ext cx="619125" cy="676275"/>
        </a:xfrm>
        <a:prstGeom prst="rect">
          <a:avLst/>
        </a:prstGeom>
      </xdr:spPr>
    </xdr:pic>
  </etc:cellImage>
  <etc:cellImage>
    <xdr:pic>
      <xdr:nvPicPr>
        <xdr:cNvPr id="635" name="ID_B04CE5E10C7B42A187BB156FD7E3807D" descr="Picture"/>
        <xdr:cNvPicPr/>
      </xdr:nvPicPr>
      <xdr:blipFill>
        <a:blip r:embed="rId633" cstate="print"/>
        <a:stretch>
          <a:fillRect/>
        </a:stretch>
      </xdr:blipFill>
      <xdr:spPr>
        <a:xfrm>
          <a:off x="0" y="442321950"/>
          <a:ext cx="619125" cy="676275"/>
        </a:xfrm>
        <a:prstGeom prst="rect">
          <a:avLst/>
        </a:prstGeom>
      </xdr:spPr>
    </xdr:pic>
  </etc:cellImage>
  <etc:cellImage>
    <xdr:pic>
      <xdr:nvPicPr>
        <xdr:cNvPr id="636" name="ID_C0FB428ED0D44554937E639EE48B5722" descr="Picture"/>
        <xdr:cNvPicPr/>
      </xdr:nvPicPr>
      <xdr:blipFill>
        <a:blip r:embed="rId634" cstate="print"/>
        <a:stretch>
          <a:fillRect/>
        </a:stretch>
      </xdr:blipFill>
      <xdr:spPr>
        <a:xfrm>
          <a:off x="0" y="443020450"/>
          <a:ext cx="619125" cy="676275"/>
        </a:xfrm>
        <a:prstGeom prst="rect">
          <a:avLst/>
        </a:prstGeom>
      </xdr:spPr>
    </xdr:pic>
  </etc:cellImage>
  <etc:cellImage>
    <xdr:pic>
      <xdr:nvPicPr>
        <xdr:cNvPr id="637" name="ID_89A59B3CA584419885059947AEF43817" descr="Picture"/>
        <xdr:cNvPicPr/>
      </xdr:nvPicPr>
      <xdr:blipFill>
        <a:blip r:embed="rId635" cstate="print"/>
        <a:stretch>
          <a:fillRect/>
        </a:stretch>
      </xdr:blipFill>
      <xdr:spPr>
        <a:xfrm>
          <a:off x="0" y="443718950"/>
          <a:ext cx="619125" cy="676275"/>
        </a:xfrm>
        <a:prstGeom prst="rect">
          <a:avLst/>
        </a:prstGeom>
      </xdr:spPr>
    </xdr:pic>
  </etc:cellImage>
  <etc:cellImage>
    <xdr:pic>
      <xdr:nvPicPr>
        <xdr:cNvPr id="638" name="ID_545B2B6DD37246899F7D8F6487F8F7D0" descr="Picture"/>
        <xdr:cNvPicPr/>
      </xdr:nvPicPr>
      <xdr:blipFill>
        <a:blip r:embed="rId636" cstate="print"/>
        <a:stretch>
          <a:fillRect/>
        </a:stretch>
      </xdr:blipFill>
      <xdr:spPr>
        <a:xfrm>
          <a:off x="0" y="444417450"/>
          <a:ext cx="619125" cy="676275"/>
        </a:xfrm>
        <a:prstGeom prst="rect">
          <a:avLst/>
        </a:prstGeom>
      </xdr:spPr>
    </xdr:pic>
  </etc:cellImage>
  <etc:cellImage>
    <xdr:pic>
      <xdr:nvPicPr>
        <xdr:cNvPr id="639" name="ID_FC50C8FDC12346618EBEAA198FFC639B" descr="Picture"/>
        <xdr:cNvPicPr/>
      </xdr:nvPicPr>
      <xdr:blipFill>
        <a:blip r:embed="rId637" cstate="print"/>
        <a:stretch>
          <a:fillRect/>
        </a:stretch>
      </xdr:blipFill>
      <xdr:spPr>
        <a:xfrm>
          <a:off x="0" y="445115950"/>
          <a:ext cx="619125" cy="676275"/>
        </a:xfrm>
        <a:prstGeom prst="rect">
          <a:avLst/>
        </a:prstGeom>
      </xdr:spPr>
    </xdr:pic>
  </etc:cellImage>
  <etc:cellImage>
    <xdr:pic>
      <xdr:nvPicPr>
        <xdr:cNvPr id="640" name="ID_91A97718B0FE400B824F2BE2603E7706" descr="Picture"/>
        <xdr:cNvPicPr/>
      </xdr:nvPicPr>
      <xdr:blipFill>
        <a:blip r:embed="rId638" cstate="print"/>
        <a:stretch>
          <a:fillRect/>
        </a:stretch>
      </xdr:blipFill>
      <xdr:spPr>
        <a:xfrm>
          <a:off x="0" y="445814450"/>
          <a:ext cx="619125" cy="676275"/>
        </a:xfrm>
        <a:prstGeom prst="rect">
          <a:avLst/>
        </a:prstGeom>
      </xdr:spPr>
    </xdr:pic>
  </etc:cellImage>
  <etc:cellImage>
    <xdr:pic>
      <xdr:nvPicPr>
        <xdr:cNvPr id="641" name="ID_C2CE2AD1A46148E3AE7DDEB84FE92855" descr="Picture"/>
        <xdr:cNvPicPr/>
      </xdr:nvPicPr>
      <xdr:blipFill>
        <a:blip r:embed="rId639" cstate="print"/>
        <a:stretch>
          <a:fillRect/>
        </a:stretch>
      </xdr:blipFill>
      <xdr:spPr>
        <a:xfrm>
          <a:off x="0" y="446512950"/>
          <a:ext cx="619125" cy="676275"/>
        </a:xfrm>
        <a:prstGeom prst="rect">
          <a:avLst/>
        </a:prstGeom>
      </xdr:spPr>
    </xdr:pic>
  </etc:cellImage>
  <etc:cellImage>
    <xdr:pic>
      <xdr:nvPicPr>
        <xdr:cNvPr id="642" name="ID_94AAC74BDF234DDA994C7F8153800AE9" descr="Picture"/>
        <xdr:cNvPicPr/>
      </xdr:nvPicPr>
      <xdr:blipFill>
        <a:blip r:embed="rId640" cstate="print"/>
        <a:stretch>
          <a:fillRect/>
        </a:stretch>
      </xdr:blipFill>
      <xdr:spPr>
        <a:xfrm>
          <a:off x="0" y="447211450"/>
          <a:ext cx="619125" cy="676275"/>
        </a:xfrm>
        <a:prstGeom prst="rect">
          <a:avLst/>
        </a:prstGeom>
      </xdr:spPr>
    </xdr:pic>
  </etc:cellImage>
  <etc:cellImage>
    <xdr:pic>
      <xdr:nvPicPr>
        <xdr:cNvPr id="643" name="ID_F4973AF7E93944E69CB2D07010E462B0" descr="Picture"/>
        <xdr:cNvPicPr/>
      </xdr:nvPicPr>
      <xdr:blipFill>
        <a:blip r:embed="rId641" cstate="print"/>
        <a:stretch>
          <a:fillRect/>
        </a:stretch>
      </xdr:blipFill>
      <xdr:spPr>
        <a:xfrm>
          <a:off x="0" y="447909950"/>
          <a:ext cx="619125" cy="676275"/>
        </a:xfrm>
        <a:prstGeom prst="rect">
          <a:avLst/>
        </a:prstGeom>
      </xdr:spPr>
    </xdr:pic>
  </etc:cellImage>
  <etc:cellImage>
    <xdr:pic>
      <xdr:nvPicPr>
        <xdr:cNvPr id="644" name="ID_3F3E16A4587E4E8199CF66FE647E6855" descr="Picture"/>
        <xdr:cNvPicPr/>
      </xdr:nvPicPr>
      <xdr:blipFill>
        <a:blip r:embed="rId642" cstate="print"/>
        <a:stretch>
          <a:fillRect/>
        </a:stretch>
      </xdr:blipFill>
      <xdr:spPr>
        <a:xfrm>
          <a:off x="0" y="448608450"/>
          <a:ext cx="619125" cy="676275"/>
        </a:xfrm>
        <a:prstGeom prst="rect">
          <a:avLst/>
        </a:prstGeom>
      </xdr:spPr>
    </xdr:pic>
  </etc:cellImage>
  <etc:cellImage>
    <xdr:pic>
      <xdr:nvPicPr>
        <xdr:cNvPr id="645" name="ID_C18DDA6E575443FFA6516112FEE459B8" descr="Picture"/>
        <xdr:cNvPicPr/>
      </xdr:nvPicPr>
      <xdr:blipFill>
        <a:blip r:embed="rId643" cstate="print"/>
        <a:stretch>
          <a:fillRect/>
        </a:stretch>
      </xdr:blipFill>
      <xdr:spPr>
        <a:xfrm>
          <a:off x="0" y="449306950"/>
          <a:ext cx="619125" cy="676275"/>
        </a:xfrm>
        <a:prstGeom prst="rect">
          <a:avLst/>
        </a:prstGeom>
      </xdr:spPr>
    </xdr:pic>
  </etc:cellImage>
  <etc:cellImage>
    <xdr:pic>
      <xdr:nvPicPr>
        <xdr:cNvPr id="646" name="ID_F34CBF42C23243799533635ECD6A36DE" descr="Picture"/>
        <xdr:cNvPicPr/>
      </xdr:nvPicPr>
      <xdr:blipFill>
        <a:blip r:embed="rId644" cstate="print"/>
        <a:stretch>
          <a:fillRect/>
        </a:stretch>
      </xdr:blipFill>
      <xdr:spPr>
        <a:xfrm>
          <a:off x="0" y="450005450"/>
          <a:ext cx="619125" cy="676275"/>
        </a:xfrm>
        <a:prstGeom prst="rect">
          <a:avLst/>
        </a:prstGeom>
      </xdr:spPr>
    </xdr:pic>
  </etc:cellImage>
  <etc:cellImage>
    <xdr:pic>
      <xdr:nvPicPr>
        <xdr:cNvPr id="647" name="ID_35B073BD657B410D9C7E41516794D3E3" descr="Picture"/>
        <xdr:cNvPicPr/>
      </xdr:nvPicPr>
      <xdr:blipFill>
        <a:blip r:embed="rId645" cstate="print"/>
        <a:stretch>
          <a:fillRect/>
        </a:stretch>
      </xdr:blipFill>
      <xdr:spPr>
        <a:xfrm>
          <a:off x="0" y="450703950"/>
          <a:ext cx="619125" cy="676275"/>
        </a:xfrm>
        <a:prstGeom prst="rect">
          <a:avLst/>
        </a:prstGeom>
      </xdr:spPr>
    </xdr:pic>
  </etc:cellImage>
  <etc:cellImage>
    <xdr:pic>
      <xdr:nvPicPr>
        <xdr:cNvPr id="648" name="ID_E8DE9C58A91A422592B62A385F094FA3" descr="Picture"/>
        <xdr:cNvPicPr/>
      </xdr:nvPicPr>
      <xdr:blipFill>
        <a:blip r:embed="rId646" cstate="print"/>
        <a:stretch>
          <a:fillRect/>
        </a:stretch>
      </xdr:blipFill>
      <xdr:spPr>
        <a:xfrm>
          <a:off x="0" y="451402450"/>
          <a:ext cx="619125" cy="676275"/>
        </a:xfrm>
        <a:prstGeom prst="rect">
          <a:avLst/>
        </a:prstGeom>
      </xdr:spPr>
    </xdr:pic>
  </etc:cellImage>
  <etc:cellImage>
    <xdr:pic>
      <xdr:nvPicPr>
        <xdr:cNvPr id="649" name="ID_223071078A0B4A8B88079F0E4E073A36" descr="Picture"/>
        <xdr:cNvPicPr/>
      </xdr:nvPicPr>
      <xdr:blipFill>
        <a:blip r:embed="rId647" cstate="print"/>
        <a:stretch>
          <a:fillRect/>
        </a:stretch>
      </xdr:blipFill>
      <xdr:spPr>
        <a:xfrm>
          <a:off x="0" y="452100950"/>
          <a:ext cx="619125" cy="676275"/>
        </a:xfrm>
        <a:prstGeom prst="rect">
          <a:avLst/>
        </a:prstGeom>
      </xdr:spPr>
    </xdr:pic>
  </etc:cellImage>
  <etc:cellImage>
    <xdr:pic>
      <xdr:nvPicPr>
        <xdr:cNvPr id="650" name="ID_0BE89C90EAD44DFB8F3BC9BC2B0B23A6" descr="Picture"/>
        <xdr:cNvPicPr/>
      </xdr:nvPicPr>
      <xdr:blipFill>
        <a:blip r:embed="rId648" cstate="print"/>
        <a:stretch>
          <a:fillRect/>
        </a:stretch>
      </xdr:blipFill>
      <xdr:spPr>
        <a:xfrm>
          <a:off x="0" y="452799450"/>
          <a:ext cx="619125" cy="676275"/>
        </a:xfrm>
        <a:prstGeom prst="rect">
          <a:avLst/>
        </a:prstGeom>
      </xdr:spPr>
    </xdr:pic>
  </etc:cellImage>
  <etc:cellImage>
    <xdr:pic>
      <xdr:nvPicPr>
        <xdr:cNvPr id="651" name="ID_B4A31C4D69284530ACD4B230D2BBB407" descr="Picture"/>
        <xdr:cNvPicPr/>
      </xdr:nvPicPr>
      <xdr:blipFill>
        <a:blip r:embed="rId649" cstate="print"/>
        <a:stretch>
          <a:fillRect/>
        </a:stretch>
      </xdr:blipFill>
      <xdr:spPr>
        <a:xfrm>
          <a:off x="0" y="453497950"/>
          <a:ext cx="619125" cy="676275"/>
        </a:xfrm>
        <a:prstGeom prst="rect">
          <a:avLst/>
        </a:prstGeom>
      </xdr:spPr>
    </xdr:pic>
  </etc:cellImage>
  <etc:cellImage>
    <xdr:pic>
      <xdr:nvPicPr>
        <xdr:cNvPr id="652" name="ID_15D933A0985C463C9C64014B57199D46" descr="Picture"/>
        <xdr:cNvPicPr/>
      </xdr:nvPicPr>
      <xdr:blipFill>
        <a:blip r:embed="rId650" cstate="print"/>
        <a:stretch>
          <a:fillRect/>
        </a:stretch>
      </xdr:blipFill>
      <xdr:spPr>
        <a:xfrm>
          <a:off x="0" y="454196450"/>
          <a:ext cx="619125" cy="676275"/>
        </a:xfrm>
        <a:prstGeom prst="rect">
          <a:avLst/>
        </a:prstGeom>
      </xdr:spPr>
    </xdr:pic>
  </etc:cellImage>
  <etc:cellImage>
    <xdr:pic>
      <xdr:nvPicPr>
        <xdr:cNvPr id="653" name="ID_52ECB589C06146D1922DB8F1935FB676" descr="Picture"/>
        <xdr:cNvPicPr/>
      </xdr:nvPicPr>
      <xdr:blipFill>
        <a:blip r:embed="rId651" cstate="print"/>
        <a:stretch>
          <a:fillRect/>
        </a:stretch>
      </xdr:blipFill>
      <xdr:spPr>
        <a:xfrm>
          <a:off x="0" y="454894950"/>
          <a:ext cx="619125" cy="676275"/>
        </a:xfrm>
        <a:prstGeom prst="rect">
          <a:avLst/>
        </a:prstGeom>
      </xdr:spPr>
    </xdr:pic>
  </etc:cellImage>
  <etc:cellImage>
    <xdr:pic>
      <xdr:nvPicPr>
        <xdr:cNvPr id="654" name="ID_62128A72B12F4BD894749BCBA28DD43C" descr="Picture"/>
        <xdr:cNvPicPr/>
      </xdr:nvPicPr>
      <xdr:blipFill>
        <a:blip r:embed="rId652" cstate="print"/>
        <a:stretch>
          <a:fillRect/>
        </a:stretch>
      </xdr:blipFill>
      <xdr:spPr>
        <a:xfrm>
          <a:off x="0" y="455593450"/>
          <a:ext cx="619125" cy="676275"/>
        </a:xfrm>
        <a:prstGeom prst="rect">
          <a:avLst/>
        </a:prstGeom>
      </xdr:spPr>
    </xdr:pic>
  </etc:cellImage>
  <etc:cellImage>
    <xdr:pic>
      <xdr:nvPicPr>
        <xdr:cNvPr id="655" name="ID_D12A0DF76F424CBE8EDEDDB02D412258" descr="Picture"/>
        <xdr:cNvPicPr/>
      </xdr:nvPicPr>
      <xdr:blipFill>
        <a:blip r:embed="rId653" cstate="print"/>
        <a:stretch>
          <a:fillRect/>
        </a:stretch>
      </xdr:blipFill>
      <xdr:spPr>
        <a:xfrm>
          <a:off x="0" y="456291950"/>
          <a:ext cx="619125" cy="676275"/>
        </a:xfrm>
        <a:prstGeom prst="rect">
          <a:avLst/>
        </a:prstGeom>
      </xdr:spPr>
    </xdr:pic>
  </etc:cellImage>
  <etc:cellImage>
    <xdr:pic>
      <xdr:nvPicPr>
        <xdr:cNvPr id="656" name="ID_9992962293F443879CDE83D894CE313A" descr="Picture"/>
        <xdr:cNvPicPr/>
      </xdr:nvPicPr>
      <xdr:blipFill>
        <a:blip r:embed="rId654" cstate="print"/>
        <a:stretch>
          <a:fillRect/>
        </a:stretch>
      </xdr:blipFill>
      <xdr:spPr>
        <a:xfrm>
          <a:off x="0" y="456990450"/>
          <a:ext cx="619125" cy="676275"/>
        </a:xfrm>
        <a:prstGeom prst="rect">
          <a:avLst/>
        </a:prstGeom>
      </xdr:spPr>
    </xdr:pic>
  </etc:cellImage>
  <etc:cellImage>
    <xdr:pic>
      <xdr:nvPicPr>
        <xdr:cNvPr id="657" name="ID_DC8B14B805634FC692337CF57D2061CE" descr="Picture"/>
        <xdr:cNvPicPr/>
      </xdr:nvPicPr>
      <xdr:blipFill>
        <a:blip r:embed="rId655" cstate="print"/>
        <a:stretch>
          <a:fillRect/>
        </a:stretch>
      </xdr:blipFill>
      <xdr:spPr>
        <a:xfrm>
          <a:off x="0" y="457688950"/>
          <a:ext cx="619125" cy="676275"/>
        </a:xfrm>
        <a:prstGeom prst="rect">
          <a:avLst/>
        </a:prstGeom>
      </xdr:spPr>
    </xdr:pic>
  </etc:cellImage>
  <etc:cellImage>
    <xdr:pic>
      <xdr:nvPicPr>
        <xdr:cNvPr id="658" name="ID_16EA3EE45C2F4B8DBB8C0AC9CEE0E079" descr="Picture"/>
        <xdr:cNvPicPr/>
      </xdr:nvPicPr>
      <xdr:blipFill>
        <a:blip r:embed="rId656" cstate="print"/>
        <a:stretch>
          <a:fillRect/>
        </a:stretch>
      </xdr:blipFill>
      <xdr:spPr>
        <a:xfrm>
          <a:off x="0" y="458387450"/>
          <a:ext cx="619125" cy="676275"/>
        </a:xfrm>
        <a:prstGeom prst="rect">
          <a:avLst/>
        </a:prstGeom>
      </xdr:spPr>
    </xdr:pic>
  </etc:cellImage>
  <etc:cellImage>
    <xdr:pic>
      <xdr:nvPicPr>
        <xdr:cNvPr id="659" name="ID_D1ED7DFA78B140DF963FAFC1A59BAF14" descr="Picture"/>
        <xdr:cNvPicPr/>
      </xdr:nvPicPr>
      <xdr:blipFill>
        <a:blip r:embed="rId657" cstate="print"/>
        <a:stretch>
          <a:fillRect/>
        </a:stretch>
      </xdr:blipFill>
      <xdr:spPr>
        <a:xfrm>
          <a:off x="0" y="459085950"/>
          <a:ext cx="619125" cy="676275"/>
        </a:xfrm>
        <a:prstGeom prst="rect">
          <a:avLst/>
        </a:prstGeom>
      </xdr:spPr>
    </xdr:pic>
  </etc:cellImage>
  <etc:cellImage>
    <xdr:pic>
      <xdr:nvPicPr>
        <xdr:cNvPr id="660" name="ID_1ECB73DFFF4B4808940EE7954ADE3BE7" descr="Picture"/>
        <xdr:cNvPicPr/>
      </xdr:nvPicPr>
      <xdr:blipFill>
        <a:blip r:embed="rId658" cstate="print"/>
        <a:stretch>
          <a:fillRect/>
        </a:stretch>
      </xdr:blipFill>
      <xdr:spPr>
        <a:xfrm>
          <a:off x="0" y="459784450"/>
          <a:ext cx="619125" cy="676275"/>
        </a:xfrm>
        <a:prstGeom prst="rect">
          <a:avLst/>
        </a:prstGeom>
      </xdr:spPr>
    </xdr:pic>
  </etc:cellImage>
  <etc:cellImage>
    <xdr:pic>
      <xdr:nvPicPr>
        <xdr:cNvPr id="661" name="ID_79786ABD08B5452F8333033395A59B6C" descr="Picture"/>
        <xdr:cNvPicPr/>
      </xdr:nvPicPr>
      <xdr:blipFill>
        <a:blip r:embed="rId659" cstate="print"/>
        <a:stretch>
          <a:fillRect/>
        </a:stretch>
      </xdr:blipFill>
      <xdr:spPr>
        <a:xfrm>
          <a:off x="0" y="460482950"/>
          <a:ext cx="619125" cy="676275"/>
        </a:xfrm>
        <a:prstGeom prst="rect">
          <a:avLst/>
        </a:prstGeom>
      </xdr:spPr>
    </xdr:pic>
  </etc:cellImage>
  <etc:cellImage>
    <xdr:pic>
      <xdr:nvPicPr>
        <xdr:cNvPr id="662" name="ID_F8E1C42F88B64B35B31D120E26814F62" descr="Picture"/>
        <xdr:cNvPicPr/>
      </xdr:nvPicPr>
      <xdr:blipFill>
        <a:blip r:embed="rId660" cstate="print"/>
        <a:stretch>
          <a:fillRect/>
        </a:stretch>
      </xdr:blipFill>
      <xdr:spPr>
        <a:xfrm>
          <a:off x="0" y="461181450"/>
          <a:ext cx="619125" cy="676275"/>
        </a:xfrm>
        <a:prstGeom prst="rect">
          <a:avLst/>
        </a:prstGeom>
      </xdr:spPr>
    </xdr:pic>
  </etc:cellImage>
  <etc:cellImage>
    <xdr:pic>
      <xdr:nvPicPr>
        <xdr:cNvPr id="663" name="ID_F3E721331990489DBDE6E99B194FBB40" descr="Picture"/>
        <xdr:cNvPicPr/>
      </xdr:nvPicPr>
      <xdr:blipFill>
        <a:blip r:embed="rId661" cstate="print"/>
        <a:stretch>
          <a:fillRect/>
        </a:stretch>
      </xdr:blipFill>
      <xdr:spPr>
        <a:xfrm>
          <a:off x="0" y="461879950"/>
          <a:ext cx="619125" cy="676275"/>
        </a:xfrm>
        <a:prstGeom prst="rect">
          <a:avLst/>
        </a:prstGeom>
      </xdr:spPr>
    </xdr:pic>
  </etc:cellImage>
  <etc:cellImage>
    <xdr:pic>
      <xdr:nvPicPr>
        <xdr:cNvPr id="664" name="ID_C64E9AC157F44CA790CD90E8FCEB543C" descr="Picture"/>
        <xdr:cNvPicPr/>
      </xdr:nvPicPr>
      <xdr:blipFill>
        <a:blip r:embed="rId662" cstate="print"/>
        <a:stretch>
          <a:fillRect/>
        </a:stretch>
      </xdr:blipFill>
      <xdr:spPr>
        <a:xfrm>
          <a:off x="0" y="462578450"/>
          <a:ext cx="619125" cy="676275"/>
        </a:xfrm>
        <a:prstGeom prst="rect">
          <a:avLst/>
        </a:prstGeom>
      </xdr:spPr>
    </xdr:pic>
  </etc:cellImage>
  <etc:cellImage>
    <xdr:pic>
      <xdr:nvPicPr>
        <xdr:cNvPr id="665" name="ID_FC1AD53275FA46ECB43CE414BEAB57CB" descr="Picture"/>
        <xdr:cNvPicPr/>
      </xdr:nvPicPr>
      <xdr:blipFill>
        <a:blip r:embed="rId663" cstate="print"/>
        <a:stretch>
          <a:fillRect/>
        </a:stretch>
      </xdr:blipFill>
      <xdr:spPr>
        <a:xfrm>
          <a:off x="0" y="463276950"/>
          <a:ext cx="619125" cy="676275"/>
        </a:xfrm>
        <a:prstGeom prst="rect">
          <a:avLst/>
        </a:prstGeom>
      </xdr:spPr>
    </xdr:pic>
  </etc:cellImage>
  <etc:cellImage>
    <xdr:pic>
      <xdr:nvPicPr>
        <xdr:cNvPr id="666" name="ID_41FADFF5E6FE4C7F8B37DD4925380BA8" descr="Picture"/>
        <xdr:cNvPicPr/>
      </xdr:nvPicPr>
      <xdr:blipFill>
        <a:blip r:embed="rId664" cstate="print"/>
        <a:stretch>
          <a:fillRect/>
        </a:stretch>
      </xdr:blipFill>
      <xdr:spPr>
        <a:xfrm>
          <a:off x="0" y="463975450"/>
          <a:ext cx="619125" cy="676275"/>
        </a:xfrm>
        <a:prstGeom prst="rect">
          <a:avLst/>
        </a:prstGeom>
      </xdr:spPr>
    </xdr:pic>
  </etc:cellImage>
  <etc:cellImage>
    <xdr:pic>
      <xdr:nvPicPr>
        <xdr:cNvPr id="667" name="ID_DE095B6414FA48A3A0DCEDBCC3D5789A" descr="Picture"/>
        <xdr:cNvPicPr/>
      </xdr:nvPicPr>
      <xdr:blipFill>
        <a:blip r:embed="rId665" cstate="print"/>
        <a:stretch>
          <a:fillRect/>
        </a:stretch>
      </xdr:blipFill>
      <xdr:spPr>
        <a:xfrm>
          <a:off x="0" y="464673950"/>
          <a:ext cx="619125" cy="676275"/>
        </a:xfrm>
        <a:prstGeom prst="rect">
          <a:avLst/>
        </a:prstGeom>
      </xdr:spPr>
    </xdr:pic>
  </etc:cellImage>
  <etc:cellImage>
    <xdr:pic>
      <xdr:nvPicPr>
        <xdr:cNvPr id="668" name="ID_752ACC55D871469BBE38F23E4E8DDDB2" descr="Picture"/>
        <xdr:cNvPicPr/>
      </xdr:nvPicPr>
      <xdr:blipFill>
        <a:blip r:embed="rId666" cstate="print"/>
        <a:stretch>
          <a:fillRect/>
        </a:stretch>
      </xdr:blipFill>
      <xdr:spPr>
        <a:xfrm>
          <a:off x="0" y="465372450"/>
          <a:ext cx="619125" cy="676275"/>
        </a:xfrm>
        <a:prstGeom prst="rect">
          <a:avLst/>
        </a:prstGeom>
      </xdr:spPr>
    </xdr:pic>
  </etc:cellImage>
  <etc:cellImage>
    <xdr:pic>
      <xdr:nvPicPr>
        <xdr:cNvPr id="669" name="ID_FEE6D1C312164DCDA814F1D0E4F6244A" descr="Picture"/>
        <xdr:cNvPicPr/>
      </xdr:nvPicPr>
      <xdr:blipFill>
        <a:blip r:embed="rId667" cstate="print"/>
        <a:stretch>
          <a:fillRect/>
        </a:stretch>
      </xdr:blipFill>
      <xdr:spPr>
        <a:xfrm>
          <a:off x="0" y="466070950"/>
          <a:ext cx="619125" cy="676275"/>
        </a:xfrm>
        <a:prstGeom prst="rect">
          <a:avLst/>
        </a:prstGeom>
      </xdr:spPr>
    </xdr:pic>
  </etc:cellImage>
  <etc:cellImage>
    <xdr:pic>
      <xdr:nvPicPr>
        <xdr:cNvPr id="670" name="ID_FBB6292230D24BEF8947535DECFE8DBB" descr="Picture"/>
        <xdr:cNvPicPr/>
      </xdr:nvPicPr>
      <xdr:blipFill>
        <a:blip r:embed="rId668" cstate="print"/>
        <a:stretch>
          <a:fillRect/>
        </a:stretch>
      </xdr:blipFill>
      <xdr:spPr>
        <a:xfrm>
          <a:off x="0" y="466769450"/>
          <a:ext cx="619125" cy="676275"/>
        </a:xfrm>
        <a:prstGeom prst="rect">
          <a:avLst/>
        </a:prstGeom>
      </xdr:spPr>
    </xdr:pic>
  </etc:cellImage>
  <etc:cellImage>
    <xdr:pic>
      <xdr:nvPicPr>
        <xdr:cNvPr id="671" name="ID_5800ACE4793E4E4BB90A8B4BD7996EC6" descr="Picture"/>
        <xdr:cNvPicPr/>
      </xdr:nvPicPr>
      <xdr:blipFill>
        <a:blip r:embed="rId669" cstate="print"/>
        <a:stretch>
          <a:fillRect/>
        </a:stretch>
      </xdr:blipFill>
      <xdr:spPr>
        <a:xfrm>
          <a:off x="0" y="467467950"/>
          <a:ext cx="619125" cy="676275"/>
        </a:xfrm>
        <a:prstGeom prst="rect">
          <a:avLst/>
        </a:prstGeom>
      </xdr:spPr>
    </xdr:pic>
  </etc:cellImage>
  <etc:cellImage>
    <xdr:pic>
      <xdr:nvPicPr>
        <xdr:cNvPr id="672" name="ID_F4545513B643418BA14DEED6AD52F4A2" descr="Picture"/>
        <xdr:cNvPicPr/>
      </xdr:nvPicPr>
      <xdr:blipFill>
        <a:blip r:embed="rId670" cstate="print"/>
        <a:stretch>
          <a:fillRect/>
        </a:stretch>
      </xdr:blipFill>
      <xdr:spPr>
        <a:xfrm>
          <a:off x="0" y="468166450"/>
          <a:ext cx="619125" cy="676275"/>
        </a:xfrm>
        <a:prstGeom prst="rect">
          <a:avLst/>
        </a:prstGeom>
      </xdr:spPr>
    </xdr:pic>
  </etc:cellImage>
  <etc:cellImage>
    <xdr:pic>
      <xdr:nvPicPr>
        <xdr:cNvPr id="673" name="ID_6CAC9E297A394EA0834AFDBE1C1B2E3F" descr="Picture"/>
        <xdr:cNvPicPr/>
      </xdr:nvPicPr>
      <xdr:blipFill>
        <a:blip r:embed="rId671" cstate="print"/>
        <a:stretch>
          <a:fillRect/>
        </a:stretch>
      </xdr:blipFill>
      <xdr:spPr>
        <a:xfrm>
          <a:off x="0" y="468864950"/>
          <a:ext cx="619125" cy="676275"/>
        </a:xfrm>
        <a:prstGeom prst="rect">
          <a:avLst/>
        </a:prstGeom>
      </xdr:spPr>
    </xdr:pic>
  </etc:cellImage>
  <etc:cellImage>
    <xdr:pic>
      <xdr:nvPicPr>
        <xdr:cNvPr id="674" name="ID_FB0216DEBCB544D9ACC37719F5CB14FC" descr="Picture"/>
        <xdr:cNvPicPr/>
      </xdr:nvPicPr>
      <xdr:blipFill>
        <a:blip r:embed="rId672" cstate="print"/>
        <a:stretch>
          <a:fillRect/>
        </a:stretch>
      </xdr:blipFill>
      <xdr:spPr>
        <a:xfrm>
          <a:off x="0" y="469563450"/>
          <a:ext cx="619125" cy="676275"/>
        </a:xfrm>
        <a:prstGeom prst="rect">
          <a:avLst/>
        </a:prstGeom>
      </xdr:spPr>
    </xdr:pic>
  </etc:cellImage>
  <etc:cellImage>
    <xdr:pic>
      <xdr:nvPicPr>
        <xdr:cNvPr id="675" name="ID_BAAC9517C2754A8CA8A07416CF1BB999" descr="Picture"/>
        <xdr:cNvPicPr/>
      </xdr:nvPicPr>
      <xdr:blipFill>
        <a:blip r:embed="rId673" cstate="print"/>
        <a:stretch>
          <a:fillRect/>
        </a:stretch>
      </xdr:blipFill>
      <xdr:spPr>
        <a:xfrm>
          <a:off x="0" y="470261950"/>
          <a:ext cx="619125" cy="676275"/>
        </a:xfrm>
        <a:prstGeom prst="rect">
          <a:avLst/>
        </a:prstGeom>
      </xdr:spPr>
    </xdr:pic>
  </etc:cellImage>
  <etc:cellImage>
    <xdr:pic>
      <xdr:nvPicPr>
        <xdr:cNvPr id="676" name="ID_CA6B7D630FAA4AB08B0237C677225A6C" descr="Picture"/>
        <xdr:cNvPicPr/>
      </xdr:nvPicPr>
      <xdr:blipFill>
        <a:blip r:embed="rId674" cstate="print"/>
        <a:stretch>
          <a:fillRect/>
        </a:stretch>
      </xdr:blipFill>
      <xdr:spPr>
        <a:xfrm>
          <a:off x="0" y="470960450"/>
          <a:ext cx="619125" cy="676275"/>
        </a:xfrm>
        <a:prstGeom prst="rect">
          <a:avLst/>
        </a:prstGeom>
      </xdr:spPr>
    </xdr:pic>
  </etc:cellImage>
  <etc:cellImage>
    <xdr:pic>
      <xdr:nvPicPr>
        <xdr:cNvPr id="677" name="ID_4CD217D47B304EC5BEB563F356145672" descr="Picture"/>
        <xdr:cNvPicPr/>
      </xdr:nvPicPr>
      <xdr:blipFill>
        <a:blip r:embed="rId675" cstate="print"/>
        <a:stretch>
          <a:fillRect/>
        </a:stretch>
      </xdr:blipFill>
      <xdr:spPr>
        <a:xfrm>
          <a:off x="0" y="471658950"/>
          <a:ext cx="619125" cy="676275"/>
        </a:xfrm>
        <a:prstGeom prst="rect">
          <a:avLst/>
        </a:prstGeom>
      </xdr:spPr>
    </xdr:pic>
  </etc:cellImage>
  <etc:cellImage>
    <xdr:pic>
      <xdr:nvPicPr>
        <xdr:cNvPr id="678" name="ID_ABA8EB09D8384556AF3606B48559F8D7" descr="Picture"/>
        <xdr:cNvPicPr/>
      </xdr:nvPicPr>
      <xdr:blipFill>
        <a:blip r:embed="rId676" cstate="print"/>
        <a:stretch>
          <a:fillRect/>
        </a:stretch>
      </xdr:blipFill>
      <xdr:spPr>
        <a:xfrm>
          <a:off x="0" y="472357450"/>
          <a:ext cx="619125" cy="676275"/>
        </a:xfrm>
        <a:prstGeom prst="rect">
          <a:avLst/>
        </a:prstGeom>
      </xdr:spPr>
    </xdr:pic>
  </etc:cellImage>
  <etc:cellImage>
    <xdr:pic>
      <xdr:nvPicPr>
        <xdr:cNvPr id="679" name="ID_0C0EFAD220884B93A832E96F5D26A4FD" descr="Picture"/>
        <xdr:cNvPicPr/>
      </xdr:nvPicPr>
      <xdr:blipFill>
        <a:blip r:embed="rId677" cstate="print"/>
        <a:stretch>
          <a:fillRect/>
        </a:stretch>
      </xdr:blipFill>
      <xdr:spPr>
        <a:xfrm>
          <a:off x="0" y="473055950"/>
          <a:ext cx="619125" cy="676275"/>
        </a:xfrm>
        <a:prstGeom prst="rect">
          <a:avLst/>
        </a:prstGeom>
      </xdr:spPr>
    </xdr:pic>
  </etc:cellImage>
  <etc:cellImage>
    <xdr:pic>
      <xdr:nvPicPr>
        <xdr:cNvPr id="680" name="ID_D3B864D2C0924FBE8BC44DB00145730D" descr="Picture"/>
        <xdr:cNvPicPr/>
      </xdr:nvPicPr>
      <xdr:blipFill>
        <a:blip r:embed="rId678" cstate="print"/>
        <a:stretch>
          <a:fillRect/>
        </a:stretch>
      </xdr:blipFill>
      <xdr:spPr>
        <a:xfrm>
          <a:off x="0" y="473754450"/>
          <a:ext cx="619125" cy="676275"/>
        </a:xfrm>
        <a:prstGeom prst="rect">
          <a:avLst/>
        </a:prstGeom>
      </xdr:spPr>
    </xdr:pic>
  </etc:cellImage>
  <etc:cellImage>
    <xdr:pic>
      <xdr:nvPicPr>
        <xdr:cNvPr id="681" name="ID_41A42160C5FA4B5FA7EA1ECDB91D83B8" descr="Picture"/>
        <xdr:cNvPicPr/>
      </xdr:nvPicPr>
      <xdr:blipFill>
        <a:blip r:embed="rId679" cstate="print"/>
        <a:stretch>
          <a:fillRect/>
        </a:stretch>
      </xdr:blipFill>
      <xdr:spPr>
        <a:xfrm>
          <a:off x="0" y="474452950"/>
          <a:ext cx="619125" cy="676275"/>
        </a:xfrm>
        <a:prstGeom prst="rect">
          <a:avLst/>
        </a:prstGeom>
      </xdr:spPr>
    </xdr:pic>
  </etc:cellImage>
  <etc:cellImage>
    <xdr:pic>
      <xdr:nvPicPr>
        <xdr:cNvPr id="682" name="ID_5F2764BA68A64A4797BC2B1BF83F678B" descr="Picture"/>
        <xdr:cNvPicPr/>
      </xdr:nvPicPr>
      <xdr:blipFill>
        <a:blip r:embed="rId680" cstate="print"/>
        <a:stretch>
          <a:fillRect/>
        </a:stretch>
      </xdr:blipFill>
      <xdr:spPr>
        <a:xfrm>
          <a:off x="0" y="475151450"/>
          <a:ext cx="619125" cy="676275"/>
        </a:xfrm>
        <a:prstGeom prst="rect">
          <a:avLst/>
        </a:prstGeom>
      </xdr:spPr>
    </xdr:pic>
  </etc:cellImage>
  <etc:cellImage>
    <xdr:pic>
      <xdr:nvPicPr>
        <xdr:cNvPr id="683" name="ID_688961BFEDB447F3988E83C3C6F27B50" descr="Picture"/>
        <xdr:cNvPicPr/>
      </xdr:nvPicPr>
      <xdr:blipFill>
        <a:blip r:embed="rId681" cstate="print"/>
        <a:stretch>
          <a:fillRect/>
        </a:stretch>
      </xdr:blipFill>
      <xdr:spPr>
        <a:xfrm>
          <a:off x="0" y="475849950"/>
          <a:ext cx="619125" cy="676275"/>
        </a:xfrm>
        <a:prstGeom prst="rect">
          <a:avLst/>
        </a:prstGeom>
      </xdr:spPr>
    </xdr:pic>
  </etc:cellImage>
  <etc:cellImage>
    <xdr:pic>
      <xdr:nvPicPr>
        <xdr:cNvPr id="684" name="ID_5BB96F25C3814164ACCADEE8BBDC4579" descr="Picture"/>
        <xdr:cNvPicPr/>
      </xdr:nvPicPr>
      <xdr:blipFill>
        <a:blip r:embed="rId682" cstate="print"/>
        <a:stretch>
          <a:fillRect/>
        </a:stretch>
      </xdr:blipFill>
      <xdr:spPr>
        <a:xfrm>
          <a:off x="0" y="476548450"/>
          <a:ext cx="619125" cy="676275"/>
        </a:xfrm>
        <a:prstGeom prst="rect">
          <a:avLst/>
        </a:prstGeom>
      </xdr:spPr>
    </xdr:pic>
  </etc:cellImage>
  <etc:cellImage>
    <xdr:pic>
      <xdr:nvPicPr>
        <xdr:cNvPr id="685" name="ID_560FA053911E48489545942C4BB61187" descr="Picture"/>
        <xdr:cNvPicPr/>
      </xdr:nvPicPr>
      <xdr:blipFill>
        <a:blip r:embed="rId683" cstate="print"/>
        <a:stretch>
          <a:fillRect/>
        </a:stretch>
      </xdr:blipFill>
      <xdr:spPr>
        <a:xfrm>
          <a:off x="0" y="477246950"/>
          <a:ext cx="619125" cy="676275"/>
        </a:xfrm>
        <a:prstGeom prst="rect">
          <a:avLst/>
        </a:prstGeom>
      </xdr:spPr>
    </xdr:pic>
  </etc:cellImage>
  <etc:cellImage>
    <xdr:pic>
      <xdr:nvPicPr>
        <xdr:cNvPr id="686" name="ID_5340651FC11C43B098FC2CF43C38E060" descr="Picture"/>
        <xdr:cNvPicPr/>
      </xdr:nvPicPr>
      <xdr:blipFill>
        <a:blip r:embed="rId684" cstate="print"/>
        <a:stretch>
          <a:fillRect/>
        </a:stretch>
      </xdr:blipFill>
      <xdr:spPr>
        <a:xfrm>
          <a:off x="0" y="477945450"/>
          <a:ext cx="619125" cy="676275"/>
        </a:xfrm>
        <a:prstGeom prst="rect">
          <a:avLst/>
        </a:prstGeom>
      </xdr:spPr>
    </xdr:pic>
  </etc:cellImage>
  <etc:cellImage>
    <xdr:pic>
      <xdr:nvPicPr>
        <xdr:cNvPr id="687" name="ID_F5DD7219510D40F3BF3FEB5E25B6A4D8" descr="Picture"/>
        <xdr:cNvPicPr/>
      </xdr:nvPicPr>
      <xdr:blipFill>
        <a:blip r:embed="rId685" cstate="print"/>
        <a:stretch>
          <a:fillRect/>
        </a:stretch>
      </xdr:blipFill>
      <xdr:spPr>
        <a:xfrm>
          <a:off x="0" y="478643950"/>
          <a:ext cx="619125" cy="676275"/>
        </a:xfrm>
        <a:prstGeom prst="rect">
          <a:avLst/>
        </a:prstGeom>
      </xdr:spPr>
    </xdr:pic>
  </etc:cellImage>
  <etc:cellImage>
    <xdr:pic>
      <xdr:nvPicPr>
        <xdr:cNvPr id="688" name="ID_9E14B70877DB4F3BA49BFCBBD823266B" descr="Picture"/>
        <xdr:cNvPicPr/>
      </xdr:nvPicPr>
      <xdr:blipFill>
        <a:blip r:embed="rId686" cstate="print"/>
        <a:stretch>
          <a:fillRect/>
        </a:stretch>
      </xdr:blipFill>
      <xdr:spPr>
        <a:xfrm>
          <a:off x="0" y="479342450"/>
          <a:ext cx="619125" cy="676275"/>
        </a:xfrm>
        <a:prstGeom prst="rect">
          <a:avLst/>
        </a:prstGeom>
      </xdr:spPr>
    </xdr:pic>
  </etc:cellImage>
  <etc:cellImage>
    <xdr:pic>
      <xdr:nvPicPr>
        <xdr:cNvPr id="689" name="ID_0BB5C6A7453141B7ABFE7FFEF4BA4430" descr="Picture"/>
        <xdr:cNvPicPr/>
      </xdr:nvPicPr>
      <xdr:blipFill>
        <a:blip r:embed="rId687" cstate="print"/>
        <a:stretch>
          <a:fillRect/>
        </a:stretch>
      </xdr:blipFill>
      <xdr:spPr>
        <a:xfrm>
          <a:off x="0" y="480040950"/>
          <a:ext cx="619125" cy="676275"/>
        </a:xfrm>
        <a:prstGeom prst="rect">
          <a:avLst/>
        </a:prstGeom>
      </xdr:spPr>
    </xdr:pic>
  </etc:cellImage>
  <etc:cellImage>
    <xdr:pic>
      <xdr:nvPicPr>
        <xdr:cNvPr id="690" name="ID_88C58DB0443C4CAB86EDCC27BCC627CC" descr="Picture"/>
        <xdr:cNvPicPr/>
      </xdr:nvPicPr>
      <xdr:blipFill>
        <a:blip r:embed="rId688" cstate="print"/>
        <a:stretch>
          <a:fillRect/>
        </a:stretch>
      </xdr:blipFill>
      <xdr:spPr>
        <a:xfrm>
          <a:off x="0" y="480739450"/>
          <a:ext cx="619125" cy="676275"/>
        </a:xfrm>
        <a:prstGeom prst="rect">
          <a:avLst/>
        </a:prstGeom>
      </xdr:spPr>
    </xdr:pic>
  </etc:cellImage>
  <etc:cellImage>
    <xdr:pic>
      <xdr:nvPicPr>
        <xdr:cNvPr id="691" name="ID_533402EA9F6148BCA8728AC1B2FB1F08" descr="Picture"/>
        <xdr:cNvPicPr/>
      </xdr:nvPicPr>
      <xdr:blipFill>
        <a:blip r:embed="rId689" cstate="print"/>
        <a:stretch>
          <a:fillRect/>
        </a:stretch>
      </xdr:blipFill>
      <xdr:spPr>
        <a:xfrm>
          <a:off x="0" y="481437950"/>
          <a:ext cx="619125" cy="676275"/>
        </a:xfrm>
        <a:prstGeom prst="rect">
          <a:avLst/>
        </a:prstGeom>
      </xdr:spPr>
    </xdr:pic>
  </etc:cellImage>
  <etc:cellImage>
    <xdr:pic>
      <xdr:nvPicPr>
        <xdr:cNvPr id="692" name="ID_C664C3870BD443E3870627EE10D6DFB9" descr="Picture"/>
        <xdr:cNvPicPr/>
      </xdr:nvPicPr>
      <xdr:blipFill>
        <a:blip r:embed="rId690" cstate="print"/>
        <a:stretch>
          <a:fillRect/>
        </a:stretch>
      </xdr:blipFill>
      <xdr:spPr>
        <a:xfrm>
          <a:off x="0" y="482136450"/>
          <a:ext cx="619125" cy="676275"/>
        </a:xfrm>
        <a:prstGeom prst="rect">
          <a:avLst/>
        </a:prstGeom>
      </xdr:spPr>
    </xdr:pic>
  </etc:cellImage>
  <etc:cellImage>
    <xdr:pic>
      <xdr:nvPicPr>
        <xdr:cNvPr id="693" name="ID_0E85ADBE750544F281381C33737C06B5" descr="Picture"/>
        <xdr:cNvPicPr/>
      </xdr:nvPicPr>
      <xdr:blipFill>
        <a:blip r:embed="rId691" cstate="print"/>
        <a:stretch>
          <a:fillRect/>
        </a:stretch>
      </xdr:blipFill>
      <xdr:spPr>
        <a:xfrm>
          <a:off x="0" y="482834950"/>
          <a:ext cx="619125" cy="676275"/>
        </a:xfrm>
        <a:prstGeom prst="rect">
          <a:avLst/>
        </a:prstGeom>
      </xdr:spPr>
    </xdr:pic>
  </etc:cellImage>
  <etc:cellImage>
    <xdr:pic>
      <xdr:nvPicPr>
        <xdr:cNvPr id="694" name="ID_A73C44224D0141F4A2B59B671CB04A91" descr="Picture"/>
        <xdr:cNvPicPr/>
      </xdr:nvPicPr>
      <xdr:blipFill>
        <a:blip r:embed="rId692" cstate="print"/>
        <a:stretch>
          <a:fillRect/>
        </a:stretch>
      </xdr:blipFill>
      <xdr:spPr>
        <a:xfrm>
          <a:off x="0" y="483533450"/>
          <a:ext cx="619125" cy="676275"/>
        </a:xfrm>
        <a:prstGeom prst="rect">
          <a:avLst/>
        </a:prstGeom>
      </xdr:spPr>
    </xdr:pic>
  </etc:cellImage>
  <etc:cellImage>
    <xdr:pic>
      <xdr:nvPicPr>
        <xdr:cNvPr id="695" name="ID_84748DD267544409A7909D49D585D552" descr="Picture"/>
        <xdr:cNvPicPr/>
      </xdr:nvPicPr>
      <xdr:blipFill>
        <a:blip r:embed="rId693" cstate="print"/>
        <a:stretch>
          <a:fillRect/>
        </a:stretch>
      </xdr:blipFill>
      <xdr:spPr>
        <a:xfrm>
          <a:off x="0" y="484231950"/>
          <a:ext cx="619125" cy="676275"/>
        </a:xfrm>
        <a:prstGeom prst="rect">
          <a:avLst/>
        </a:prstGeom>
      </xdr:spPr>
    </xdr:pic>
  </etc:cellImage>
  <etc:cellImage>
    <xdr:pic>
      <xdr:nvPicPr>
        <xdr:cNvPr id="696" name="ID_84DD5CB7658943E898A7701679E81B33" descr="Picture"/>
        <xdr:cNvPicPr/>
      </xdr:nvPicPr>
      <xdr:blipFill>
        <a:blip r:embed="rId694" cstate="print"/>
        <a:stretch>
          <a:fillRect/>
        </a:stretch>
      </xdr:blipFill>
      <xdr:spPr>
        <a:xfrm>
          <a:off x="0" y="484930450"/>
          <a:ext cx="619125" cy="676275"/>
        </a:xfrm>
        <a:prstGeom prst="rect">
          <a:avLst/>
        </a:prstGeom>
      </xdr:spPr>
    </xdr:pic>
  </etc:cellImage>
  <etc:cellImage>
    <xdr:pic>
      <xdr:nvPicPr>
        <xdr:cNvPr id="697" name="ID_18216AF1F5574A30A1C85EA898848E1A" descr="Picture"/>
        <xdr:cNvPicPr/>
      </xdr:nvPicPr>
      <xdr:blipFill>
        <a:blip r:embed="rId695" cstate="print"/>
        <a:stretch>
          <a:fillRect/>
        </a:stretch>
      </xdr:blipFill>
      <xdr:spPr>
        <a:xfrm>
          <a:off x="0" y="485628950"/>
          <a:ext cx="619125" cy="676275"/>
        </a:xfrm>
        <a:prstGeom prst="rect">
          <a:avLst/>
        </a:prstGeom>
      </xdr:spPr>
    </xdr:pic>
  </etc:cellImage>
  <etc:cellImage>
    <xdr:pic>
      <xdr:nvPicPr>
        <xdr:cNvPr id="698" name="ID_967D7C3E4CB848DBB79F0451E67CA9D2" descr="Picture"/>
        <xdr:cNvPicPr/>
      </xdr:nvPicPr>
      <xdr:blipFill>
        <a:blip r:embed="rId696" cstate="print"/>
        <a:stretch>
          <a:fillRect/>
        </a:stretch>
      </xdr:blipFill>
      <xdr:spPr>
        <a:xfrm>
          <a:off x="0" y="486327450"/>
          <a:ext cx="619125" cy="676275"/>
        </a:xfrm>
        <a:prstGeom prst="rect">
          <a:avLst/>
        </a:prstGeom>
      </xdr:spPr>
    </xdr:pic>
  </etc:cellImage>
  <etc:cellImage>
    <xdr:pic>
      <xdr:nvPicPr>
        <xdr:cNvPr id="699" name="ID_D2268E27A5D947139F6BA9EB2F216B10" descr="Picture"/>
        <xdr:cNvPicPr/>
      </xdr:nvPicPr>
      <xdr:blipFill>
        <a:blip r:embed="rId697" cstate="print"/>
        <a:stretch>
          <a:fillRect/>
        </a:stretch>
      </xdr:blipFill>
      <xdr:spPr>
        <a:xfrm>
          <a:off x="0" y="487025950"/>
          <a:ext cx="619125" cy="676275"/>
        </a:xfrm>
        <a:prstGeom prst="rect">
          <a:avLst/>
        </a:prstGeom>
      </xdr:spPr>
    </xdr:pic>
  </etc:cellImage>
  <etc:cellImage>
    <xdr:pic>
      <xdr:nvPicPr>
        <xdr:cNvPr id="700" name="ID_BC41C73E27994E4793DF42B440CC6B4F" descr="Picture"/>
        <xdr:cNvPicPr/>
      </xdr:nvPicPr>
      <xdr:blipFill>
        <a:blip r:embed="rId698" cstate="print"/>
        <a:stretch>
          <a:fillRect/>
        </a:stretch>
      </xdr:blipFill>
      <xdr:spPr>
        <a:xfrm>
          <a:off x="0" y="487724450"/>
          <a:ext cx="619125" cy="676275"/>
        </a:xfrm>
        <a:prstGeom prst="rect">
          <a:avLst/>
        </a:prstGeom>
      </xdr:spPr>
    </xdr:pic>
  </etc:cellImage>
  <etc:cellImage>
    <xdr:pic>
      <xdr:nvPicPr>
        <xdr:cNvPr id="701" name="ID_1B76B3294AE142B291DA25EC5F4B0C77" descr="Picture"/>
        <xdr:cNvPicPr/>
      </xdr:nvPicPr>
      <xdr:blipFill>
        <a:blip r:embed="rId699" cstate="print"/>
        <a:stretch>
          <a:fillRect/>
        </a:stretch>
      </xdr:blipFill>
      <xdr:spPr>
        <a:xfrm>
          <a:off x="0" y="488422950"/>
          <a:ext cx="619125" cy="676275"/>
        </a:xfrm>
        <a:prstGeom prst="rect">
          <a:avLst/>
        </a:prstGeom>
      </xdr:spPr>
    </xdr:pic>
  </etc:cellImage>
  <etc:cellImage>
    <xdr:pic>
      <xdr:nvPicPr>
        <xdr:cNvPr id="702" name="ID_D340F393A1D14EE38445375B77E660E5" descr="Picture"/>
        <xdr:cNvPicPr/>
      </xdr:nvPicPr>
      <xdr:blipFill>
        <a:blip r:embed="rId700" cstate="print"/>
        <a:stretch>
          <a:fillRect/>
        </a:stretch>
      </xdr:blipFill>
      <xdr:spPr>
        <a:xfrm>
          <a:off x="0" y="489121450"/>
          <a:ext cx="619125" cy="676275"/>
        </a:xfrm>
        <a:prstGeom prst="rect">
          <a:avLst/>
        </a:prstGeom>
      </xdr:spPr>
    </xdr:pic>
  </etc:cellImage>
  <etc:cellImage>
    <xdr:pic>
      <xdr:nvPicPr>
        <xdr:cNvPr id="703" name="ID_28D6187856CF4C2D804DD6D0B460741B" descr="Picture"/>
        <xdr:cNvPicPr/>
      </xdr:nvPicPr>
      <xdr:blipFill>
        <a:blip r:embed="rId701" cstate="print"/>
        <a:stretch>
          <a:fillRect/>
        </a:stretch>
      </xdr:blipFill>
      <xdr:spPr>
        <a:xfrm>
          <a:off x="0" y="489819950"/>
          <a:ext cx="619125" cy="676275"/>
        </a:xfrm>
        <a:prstGeom prst="rect">
          <a:avLst/>
        </a:prstGeom>
      </xdr:spPr>
    </xdr:pic>
  </etc:cellImage>
  <etc:cellImage>
    <xdr:pic>
      <xdr:nvPicPr>
        <xdr:cNvPr id="704" name="ID_432EF110AE4A487C8B626B2AB640DCDD" descr="Picture"/>
        <xdr:cNvPicPr/>
      </xdr:nvPicPr>
      <xdr:blipFill>
        <a:blip r:embed="rId702" cstate="print"/>
        <a:stretch>
          <a:fillRect/>
        </a:stretch>
      </xdr:blipFill>
      <xdr:spPr>
        <a:xfrm>
          <a:off x="0" y="490518450"/>
          <a:ext cx="619125" cy="676275"/>
        </a:xfrm>
        <a:prstGeom prst="rect">
          <a:avLst/>
        </a:prstGeom>
      </xdr:spPr>
    </xdr:pic>
  </etc:cellImage>
  <etc:cellImage>
    <xdr:pic>
      <xdr:nvPicPr>
        <xdr:cNvPr id="705" name="ID_28AEC161CBEC444F867569CA4FD34821" descr="Picture"/>
        <xdr:cNvPicPr/>
      </xdr:nvPicPr>
      <xdr:blipFill>
        <a:blip r:embed="rId703" cstate="print"/>
        <a:stretch>
          <a:fillRect/>
        </a:stretch>
      </xdr:blipFill>
      <xdr:spPr>
        <a:xfrm>
          <a:off x="0" y="491216950"/>
          <a:ext cx="619125" cy="676275"/>
        </a:xfrm>
        <a:prstGeom prst="rect">
          <a:avLst/>
        </a:prstGeom>
      </xdr:spPr>
    </xdr:pic>
  </etc:cellImage>
  <etc:cellImage>
    <xdr:pic>
      <xdr:nvPicPr>
        <xdr:cNvPr id="706" name="ID_57ACCB39A8774677B9086DD2C09EA6B0" descr="Picture"/>
        <xdr:cNvPicPr/>
      </xdr:nvPicPr>
      <xdr:blipFill>
        <a:blip r:embed="rId704" cstate="print"/>
        <a:stretch>
          <a:fillRect/>
        </a:stretch>
      </xdr:blipFill>
      <xdr:spPr>
        <a:xfrm>
          <a:off x="0" y="491915450"/>
          <a:ext cx="619125" cy="676275"/>
        </a:xfrm>
        <a:prstGeom prst="rect">
          <a:avLst/>
        </a:prstGeom>
      </xdr:spPr>
    </xdr:pic>
  </etc:cellImage>
  <etc:cellImage>
    <xdr:pic>
      <xdr:nvPicPr>
        <xdr:cNvPr id="707" name="ID_3ED04A80D2004418B157DDE10C7D8935" descr="Picture"/>
        <xdr:cNvPicPr/>
      </xdr:nvPicPr>
      <xdr:blipFill>
        <a:blip r:embed="rId705" cstate="print"/>
        <a:stretch>
          <a:fillRect/>
        </a:stretch>
      </xdr:blipFill>
      <xdr:spPr>
        <a:xfrm>
          <a:off x="0" y="492613950"/>
          <a:ext cx="619125" cy="676275"/>
        </a:xfrm>
        <a:prstGeom prst="rect">
          <a:avLst/>
        </a:prstGeom>
      </xdr:spPr>
    </xdr:pic>
  </etc:cellImage>
  <etc:cellImage>
    <xdr:pic>
      <xdr:nvPicPr>
        <xdr:cNvPr id="708" name="ID_290341EAEF314FE1B38AAF5DFCFEC567" descr="Picture"/>
        <xdr:cNvPicPr/>
      </xdr:nvPicPr>
      <xdr:blipFill>
        <a:blip r:embed="rId706" cstate="print"/>
        <a:stretch>
          <a:fillRect/>
        </a:stretch>
      </xdr:blipFill>
      <xdr:spPr>
        <a:xfrm>
          <a:off x="0" y="493312450"/>
          <a:ext cx="619125" cy="676275"/>
        </a:xfrm>
        <a:prstGeom prst="rect">
          <a:avLst/>
        </a:prstGeom>
      </xdr:spPr>
    </xdr:pic>
  </etc:cellImage>
  <etc:cellImage>
    <xdr:pic>
      <xdr:nvPicPr>
        <xdr:cNvPr id="709" name="ID_75F3E05FABE54A37A6CF52F2950ECA83" descr="Picture"/>
        <xdr:cNvPicPr/>
      </xdr:nvPicPr>
      <xdr:blipFill>
        <a:blip r:embed="rId707" cstate="print"/>
        <a:stretch>
          <a:fillRect/>
        </a:stretch>
      </xdr:blipFill>
      <xdr:spPr>
        <a:xfrm>
          <a:off x="0" y="494010950"/>
          <a:ext cx="619125" cy="676275"/>
        </a:xfrm>
        <a:prstGeom prst="rect">
          <a:avLst/>
        </a:prstGeom>
      </xdr:spPr>
    </xdr:pic>
  </etc:cellImage>
  <etc:cellImage>
    <xdr:pic>
      <xdr:nvPicPr>
        <xdr:cNvPr id="710" name="ID_23A1B07254AD4ED5B91552BC858F7B0A" descr="Picture"/>
        <xdr:cNvPicPr/>
      </xdr:nvPicPr>
      <xdr:blipFill>
        <a:blip r:embed="rId708" cstate="print"/>
        <a:stretch>
          <a:fillRect/>
        </a:stretch>
      </xdr:blipFill>
      <xdr:spPr>
        <a:xfrm>
          <a:off x="0" y="494709450"/>
          <a:ext cx="619125" cy="676275"/>
        </a:xfrm>
        <a:prstGeom prst="rect">
          <a:avLst/>
        </a:prstGeom>
      </xdr:spPr>
    </xdr:pic>
  </etc:cellImage>
  <etc:cellImage>
    <xdr:pic>
      <xdr:nvPicPr>
        <xdr:cNvPr id="711" name="ID_67AC46D6FDD2493094A9C40742438704" descr="Picture"/>
        <xdr:cNvPicPr/>
      </xdr:nvPicPr>
      <xdr:blipFill>
        <a:blip r:embed="rId709" cstate="print"/>
        <a:stretch>
          <a:fillRect/>
        </a:stretch>
      </xdr:blipFill>
      <xdr:spPr>
        <a:xfrm>
          <a:off x="0" y="495407950"/>
          <a:ext cx="619125" cy="676275"/>
        </a:xfrm>
        <a:prstGeom prst="rect">
          <a:avLst/>
        </a:prstGeom>
      </xdr:spPr>
    </xdr:pic>
  </etc:cellImage>
  <etc:cellImage>
    <xdr:pic>
      <xdr:nvPicPr>
        <xdr:cNvPr id="712" name="ID_226735B6DA804ADE9BFDC0037476AD6C" descr="Picture"/>
        <xdr:cNvPicPr/>
      </xdr:nvPicPr>
      <xdr:blipFill>
        <a:blip r:embed="rId710" cstate="print"/>
        <a:stretch>
          <a:fillRect/>
        </a:stretch>
      </xdr:blipFill>
      <xdr:spPr>
        <a:xfrm>
          <a:off x="0" y="496106450"/>
          <a:ext cx="619125" cy="676275"/>
        </a:xfrm>
        <a:prstGeom prst="rect">
          <a:avLst/>
        </a:prstGeom>
      </xdr:spPr>
    </xdr:pic>
  </etc:cellImage>
  <etc:cellImage>
    <xdr:pic>
      <xdr:nvPicPr>
        <xdr:cNvPr id="713" name="ID_EB6AC55C175A48AC99811177C9B98D1F" descr="Picture"/>
        <xdr:cNvPicPr/>
      </xdr:nvPicPr>
      <xdr:blipFill>
        <a:blip r:embed="rId711" cstate="print"/>
        <a:stretch>
          <a:fillRect/>
        </a:stretch>
      </xdr:blipFill>
      <xdr:spPr>
        <a:xfrm>
          <a:off x="0" y="496804950"/>
          <a:ext cx="619125" cy="676275"/>
        </a:xfrm>
        <a:prstGeom prst="rect">
          <a:avLst/>
        </a:prstGeom>
      </xdr:spPr>
    </xdr:pic>
  </etc:cellImage>
  <etc:cellImage>
    <xdr:pic>
      <xdr:nvPicPr>
        <xdr:cNvPr id="714" name="ID_B7A4FB68960748C7AF7DA1499D5F0593" descr="Picture"/>
        <xdr:cNvPicPr/>
      </xdr:nvPicPr>
      <xdr:blipFill>
        <a:blip r:embed="rId712" cstate="print"/>
        <a:stretch>
          <a:fillRect/>
        </a:stretch>
      </xdr:blipFill>
      <xdr:spPr>
        <a:xfrm>
          <a:off x="0" y="497503450"/>
          <a:ext cx="619125" cy="676275"/>
        </a:xfrm>
        <a:prstGeom prst="rect">
          <a:avLst/>
        </a:prstGeom>
      </xdr:spPr>
    </xdr:pic>
  </etc:cellImage>
  <etc:cellImage>
    <xdr:pic>
      <xdr:nvPicPr>
        <xdr:cNvPr id="715" name="ID_515F274A06EA455A90888D0AB637FA9B" descr="Picture"/>
        <xdr:cNvPicPr/>
      </xdr:nvPicPr>
      <xdr:blipFill>
        <a:blip r:embed="rId713" cstate="print"/>
        <a:stretch>
          <a:fillRect/>
        </a:stretch>
      </xdr:blipFill>
      <xdr:spPr>
        <a:xfrm>
          <a:off x="0" y="498201950"/>
          <a:ext cx="619125" cy="676275"/>
        </a:xfrm>
        <a:prstGeom prst="rect">
          <a:avLst/>
        </a:prstGeom>
      </xdr:spPr>
    </xdr:pic>
  </etc:cellImage>
  <etc:cellImage>
    <xdr:pic>
      <xdr:nvPicPr>
        <xdr:cNvPr id="716" name="ID_31E2D6C9C7914702845847A28431CFE8" descr="Picture"/>
        <xdr:cNvPicPr/>
      </xdr:nvPicPr>
      <xdr:blipFill>
        <a:blip r:embed="rId714" cstate="print"/>
        <a:stretch>
          <a:fillRect/>
        </a:stretch>
      </xdr:blipFill>
      <xdr:spPr>
        <a:xfrm>
          <a:off x="0" y="498900450"/>
          <a:ext cx="619125" cy="676275"/>
        </a:xfrm>
        <a:prstGeom prst="rect">
          <a:avLst/>
        </a:prstGeom>
      </xdr:spPr>
    </xdr:pic>
  </etc:cellImage>
  <etc:cellImage>
    <xdr:pic>
      <xdr:nvPicPr>
        <xdr:cNvPr id="717" name="ID_0F6DB889802B42CFA2B4030AC37AECDF" descr="Picture"/>
        <xdr:cNvPicPr/>
      </xdr:nvPicPr>
      <xdr:blipFill>
        <a:blip r:embed="rId715" cstate="print"/>
        <a:stretch>
          <a:fillRect/>
        </a:stretch>
      </xdr:blipFill>
      <xdr:spPr>
        <a:xfrm>
          <a:off x="0" y="499598950"/>
          <a:ext cx="619125" cy="676275"/>
        </a:xfrm>
        <a:prstGeom prst="rect">
          <a:avLst/>
        </a:prstGeom>
      </xdr:spPr>
    </xdr:pic>
  </etc:cellImage>
  <etc:cellImage>
    <xdr:pic>
      <xdr:nvPicPr>
        <xdr:cNvPr id="718" name="ID_5F92B0581980476993A647253ABAFC8A" descr="Picture"/>
        <xdr:cNvPicPr/>
      </xdr:nvPicPr>
      <xdr:blipFill>
        <a:blip r:embed="rId716" cstate="print"/>
        <a:stretch>
          <a:fillRect/>
        </a:stretch>
      </xdr:blipFill>
      <xdr:spPr>
        <a:xfrm>
          <a:off x="0" y="500297450"/>
          <a:ext cx="619125" cy="676275"/>
        </a:xfrm>
        <a:prstGeom prst="rect">
          <a:avLst/>
        </a:prstGeom>
      </xdr:spPr>
    </xdr:pic>
  </etc:cellImage>
  <etc:cellImage>
    <xdr:pic>
      <xdr:nvPicPr>
        <xdr:cNvPr id="719" name="ID_FAEE3F01F6714BA5A4C60519B14229BF" descr="Picture"/>
        <xdr:cNvPicPr/>
      </xdr:nvPicPr>
      <xdr:blipFill>
        <a:blip r:embed="rId717" cstate="print"/>
        <a:stretch>
          <a:fillRect/>
        </a:stretch>
      </xdr:blipFill>
      <xdr:spPr>
        <a:xfrm>
          <a:off x="0" y="500995950"/>
          <a:ext cx="619125" cy="676275"/>
        </a:xfrm>
        <a:prstGeom prst="rect">
          <a:avLst/>
        </a:prstGeom>
      </xdr:spPr>
    </xdr:pic>
  </etc:cellImage>
  <etc:cellImage>
    <xdr:pic>
      <xdr:nvPicPr>
        <xdr:cNvPr id="720" name="ID_4EB2E6EF315C4161AD87D5C7672CE63C" descr="Picture"/>
        <xdr:cNvPicPr/>
      </xdr:nvPicPr>
      <xdr:blipFill>
        <a:blip r:embed="rId718" cstate="print"/>
        <a:stretch>
          <a:fillRect/>
        </a:stretch>
      </xdr:blipFill>
      <xdr:spPr>
        <a:xfrm>
          <a:off x="0" y="501694450"/>
          <a:ext cx="619125" cy="676275"/>
        </a:xfrm>
        <a:prstGeom prst="rect">
          <a:avLst/>
        </a:prstGeom>
      </xdr:spPr>
    </xdr:pic>
  </etc:cellImage>
  <etc:cellImage>
    <xdr:pic>
      <xdr:nvPicPr>
        <xdr:cNvPr id="721" name="ID_E6FC942781EE49679F0F52EA358ED2F7" descr="Picture"/>
        <xdr:cNvPicPr/>
      </xdr:nvPicPr>
      <xdr:blipFill>
        <a:blip r:embed="rId719" cstate="print"/>
        <a:stretch>
          <a:fillRect/>
        </a:stretch>
      </xdr:blipFill>
      <xdr:spPr>
        <a:xfrm>
          <a:off x="0" y="502392950"/>
          <a:ext cx="619125" cy="676275"/>
        </a:xfrm>
        <a:prstGeom prst="rect">
          <a:avLst/>
        </a:prstGeom>
      </xdr:spPr>
    </xdr:pic>
  </etc:cellImage>
  <etc:cellImage>
    <xdr:pic>
      <xdr:nvPicPr>
        <xdr:cNvPr id="722" name="ID_49C42BB960B144739764ECE3FFBBEF90" descr="Picture"/>
        <xdr:cNvPicPr/>
      </xdr:nvPicPr>
      <xdr:blipFill>
        <a:blip r:embed="rId720" cstate="print"/>
        <a:stretch>
          <a:fillRect/>
        </a:stretch>
      </xdr:blipFill>
      <xdr:spPr>
        <a:xfrm>
          <a:off x="0" y="503091450"/>
          <a:ext cx="619125" cy="676275"/>
        </a:xfrm>
        <a:prstGeom prst="rect">
          <a:avLst/>
        </a:prstGeom>
      </xdr:spPr>
    </xdr:pic>
  </etc:cellImage>
  <etc:cellImage>
    <xdr:pic>
      <xdr:nvPicPr>
        <xdr:cNvPr id="723" name="ID_57E2F7A6A13A428EADD80234B673D6CC" descr="Picture"/>
        <xdr:cNvPicPr/>
      </xdr:nvPicPr>
      <xdr:blipFill>
        <a:blip r:embed="rId721" cstate="print"/>
        <a:stretch>
          <a:fillRect/>
        </a:stretch>
      </xdr:blipFill>
      <xdr:spPr>
        <a:xfrm>
          <a:off x="0" y="503789950"/>
          <a:ext cx="619125" cy="676275"/>
        </a:xfrm>
        <a:prstGeom prst="rect">
          <a:avLst/>
        </a:prstGeom>
      </xdr:spPr>
    </xdr:pic>
  </etc:cellImage>
  <etc:cellImage>
    <xdr:pic>
      <xdr:nvPicPr>
        <xdr:cNvPr id="724" name="ID_5D0642D839964362BB3374DF9579A603" descr="Picture"/>
        <xdr:cNvPicPr/>
      </xdr:nvPicPr>
      <xdr:blipFill>
        <a:blip r:embed="rId722" cstate="print"/>
        <a:stretch>
          <a:fillRect/>
        </a:stretch>
      </xdr:blipFill>
      <xdr:spPr>
        <a:xfrm>
          <a:off x="0" y="504488450"/>
          <a:ext cx="619125" cy="676275"/>
        </a:xfrm>
        <a:prstGeom prst="rect">
          <a:avLst/>
        </a:prstGeom>
      </xdr:spPr>
    </xdr:pic>
  </etc:cellImage>
  <etc:cellImage>
    <xdr:pic>
      <xdr:nvPicPr>
        <xdr:cNvPr id="725" name="ID_490AEF031F6146EEB981BA2A72075BB8" descr="Picture"/>
        <xdr:cNvPicPr/>
      </xdr:nvPicPr>
      <xdr:blipFill>
        <a:blip r:embed="rId723" cstate="print"/>
        <a:stretch>
          <a:fillRect/>
        </a:stretch>
      </xdr:blipFill>
      <xdr:spPr>
        <a:xfrm>
          <a:off x="0" y="505186950"/>
          <a:ext cx="619125" cy="676275"/>
        </a:xfrm>
        <a:prstGeom prst="rect">
          <a:avLst/>
        </a:prstGeom>
      </xdr:spPr>
    </xdr:pic>
  </etc:cellImage>
  <etc:cellImage>
    <xdr:pic>
      <xdr:nvPicPr>
        <xdr:cNvPr id="726" name="ID_DAE79000CBA24D7D8875A3CEF9005AD7" descr="Picture"/>
        <xdr:cNvPicPr/>
      </xdr:nvPicPr>
      <xdr:blipFill>
        <a:blip r:embed="rId724" cstate="print"/>
        <a:stretch>
          <a:fillRect/>
        </a:stretch>
      </xdr:blipFill>
      <xdr:spPr>
        <a:xfrm>
          <a:off x="0" y="505885450"/>
          <a:ext cx="619125" cy="676275"/>
        </a:xfrm>
        <a:prstGeom prst="rect">
          <a:avLst/>
        </a:prstGeom>
      </xdr:spPr>
    </xdr:pic>
  </etc:cellImage>
  <etc:cellImage>
    <xdr:pic>
      <xdr:nvPicPr>
        <xdr:cNvPr id="727" name="ID_0F539FC5A9CC47948AB2B08328F4F57A" descr="Picture"/>
        <xdr:cNvPicPr/>
      </xdr:nvPicPr>
      <xdr:blipFill>
        <a:blip r:embed="rId725" cstate="print"/>
        <a:stretch>
          <a:fillRect/>
        </a:stretch>
      </xdr:blipFill>
      <xdr:spPr>
        <a:xfrm>
          <a:off x="0" y="506583950"/>
          <a:ext cx="619125" cy="676275"/>
        </a:xfrm>
        <a:prstGeom prst="rect">
          <a:avLst/>
        </a:prstGeom>
      </xdr:spPr>
    </xdr:pic>
  </etc:cellImage>
  <etc:cellImage>
    <xdr:pic>
      <xdr:nvPicPr>
        <xdr:cNvPr id="728" name="ID_D58CE3748A454EF6B2DC4FF605FF34CB" descr="Picture"/>
        <xdr:cNvPicPr/>
      </xdr:nvPicPr>
      <xdr:blipFill>
        <a:blip r:embed="rId726" cstate="print"/>
        <a:stretch>
          <a:fillRect/>
        </a:stretch>
      </xdr:blipFill>
      <xdr:spPr>
        <a:xfrm>
          <a:off x="0" y="507282450"/>
          <a:ext cx="619125" cy="676275"/>
        </a:xfrm>
        <a:prstGeom prst="rect">
          <a:avLst/>
        </a:prstGeom>
      </xdr:spPr>
    </xdr:pic>
  </etc:cellImage>
  <etc:cellImage>
    <xdr:pic>
      <xdr:nvPicPr>
        <xdr:cNvPr id="729" name="ID_96A0742E61DB4B83878F92DEAD944826" descr="Picture"/>
        <xdr:cNvPicPr/>
      </xdr:nvPicPr>
      <xdr:blipFill>
        <a:blip r:embed="rId727" cstate="print"/>
        <a:stretch>
          <a:fillRect/>
        </a:stretch>
      </xdr:blipFill>
      <xdr:spPr>
        <a:xfrm>
          <a:off x="0" y="507980950"/>
          <a:ext cx="619125" cy="676275"/>
        </a:xfrm>
        <a:prstGeom prst="rect">
          <a:avLst/>
        </a:prstGeom>
      </xdr:spPr>
    </xdr:pic>
  </etc:cellImage>
  <etc:cellImage>
    <xdr:pic>
      <xdr:nvPicPr>
        <xdr:cNvPr id="730" name="ID_9F5A594DF09F47FEB69C5EDE24F1FE55" descr="Picture"/>
        <xdr:cNvPicPr/>
      </xdr:nvPicPr>
      <xdr:blipFill>
        <a:blip r:embed="rId728" cstate="print"/>
        <a:stretch>
          <a:fillRect/>
        </a:stretch>
      </xdr:blipFill>
      <xdr:spPr>
        <a:xfrm>
          <a:off x="0" y="508679450"/>
          <a:ext cx="619125" cy="676275"/>
        </a:xfrm>
        <a:prstGeom prst="rect">
          <a:avLst/>
        </a:prstGeom>
      </xdr:spPr>
    </xdr:pic>
  </etc:cellImage>
  <etc:cellImage>
    <xdr:pic>
      <xdr:nvPicPr>
        <xdr:cNvPr id="731" name="ID_E4E6C62B965444848D6A28D9597B45DF" descr="Picture"/>
        <xdr:cNvPicPr/>
      </xdr:nvPicPr>
      <xdr:blipFill>
        <a:blip r:embed="rId729" cstate="print"/>
        <a:stretch>
          <a:fillRect/>
        </a:stretch>
      </xdr:blipFill>
      <xdr:spPr>
        <a:xfrm>
          <a:off x="0" y="509377950"/>
          <a:ext cx="619125" cy="676275"/>
        </a:xfrm>
        <a:prstGeom prst="rect">
          <a:avLst/>
        </a:prstGeom>
      </xdr:spPr>
    </xdr:pic>
  </etc:cellImage>
  <etc:cellImage>
    <xdr:pic>
      <xdr:nvPicPr>
        <xdr:cNvPr id="732" name="ID_6993D3D3E9BF4A59AD3EA3A72EE8891E" descr="Picture"/>
        <xdr:cNvPicPr/>
      </xdr:nvPicPr>
      <xdr:blipFill>
        <a:blip r:embed="rId730" cstate="print"/>
        <a:stretch>
          <a:fillRect/>
        </a:stretch>
      </xdr:blipFill>
      <xdr:spPr>
        <a:xfrm>
          <a:off x="0" y="510076450"/>
          <a:ext cx="619125" cy="676275"/>
        </a:xfrm>
        <a:prstGeom prst="rect">
          <a:avLst/>
        </a:prstGeom>
      </xdr:spPr>
    </xdr:pic>
  </etc:cellImage>
  <etc:cellImage>
    <xdr:pic>
      <xdr:nvPicPr>
        <xdr:cNvPr id="733" name="ID_BB0933245B3A4B559C79729DD4958D69" descr="Picture"/>
        <xdr:cNvPicPr/>
      </xdr:nvPicPr>
      <xdr:blipFill>
        <a:blip r:embed="rId731" cstate="print"/>
        <a:stretch>
          <a:fillRect/>
        </a:stretch>
      </xdr:blipFill>
      <xdr:spPr>
        <a:xfrm>
          <a:off x="0" y="510774950"/>
          <a:ext cx="619125" cy="676275"/>
        </a:xfrm>
        <a:prstGeom prst="rect">
          <a:avLst/>
        </a:prstGeom>
      </xdr:spPr>
    </xdr:pic>
  </etc:cellImage>
  <etc:cellImage>
    <xdr:pic>
      <xdr:nvPicPr>
        <xdr:cNvPr id="734" name="ID_553C7A6FF0614DB283E1BB6F24115BF8" descr="Picture"/>
        <xdr:cNvPicPr/>
      </xdr:nvPicPr>
      <xdr:blipFill>
        <a:blip r:embed="rId732" cstate="print"/>
        <a:stretch>
          <a:fillRect/>
        </a:stretch>
      </xdr:blipFill>
      <xdr:spPr>
        <a:xfrm>
          <a:off x="0" y="511473450"/>
          <a:ext cx="619125" cy="676275"/>
        </a:xfrm>
        <a:prstGeom prst="rect">
          <a:avLst/>
        </a:prstGeom>
      </xdr:spPr>
    </xdr:pic>
  </etc:cellImage>
  <etc:cellImage>
    <xdr:pic>
      <xdr:nvPicPr>
        <xdr:cNvPr id="735" name="ID_78B9E9F16DA64AE29DCFB50C147E69F0" descr="Picture"/>
        <xdr:cNvPicPr/>
      </xdr:nvPicPr>
      <xdr:blipFill>
        <a:blip r:embed="rId733" cstate="print"/>
        <a:stretch>
          <a:fillRect/>
        </a:stretch>
      </xdr:blipFill>
      <xdr:spPr>
        <a:xfrm>
          <a:off x="0" y="512171950"/>
          <a:ext cx="619125" cy="676275"/>
        </a:xfrm>
        <a:prstGeom prst="rect">
          <a:avLst/>
        </a:prstGeom>
      </xdr:spPr>
    </xdr:pic>
  </etc:cellImage>
  <etc:cellImage>
    <xdr:pic>
      <xdr:nvPicPr>
        <xdr:cNvPr id="736" name="ID_60DB06DD578444DB8E3B39887150A0AB" descr="Picture"/>
        <xdr:cNvPicPr/>
      </xdr:nvPicPr>
      <xdr:blipFill>
        <a:blip r:embed="rId734" cstate="print"/>
        <a:stretch>
          <a:fillRect/>
        </a:stretch>
      </xdr:blipFill>
      <xdr:spPr>
        <a:xfrm>
          <a:off x="0" y="512870450"/>
          <a:ext cx="619125" cy="676275"/>
        </a:xfrm>
        <a:prstGeom prst="rect">
          <a:avLst/>
        </a:prstGeom>
      </xdr:spPr>
    </xdr:pic>
  </etc:cellImage>
  <etc:cellImage>
    <xdr:pic>
      <xdr:nvPicPr>
        <xdr:cNvPr id="737" name="ID_BC770927B6C642C6854E29CBF81DDD47" descr="Picture"/>
        <xdr:cNvPicPr/>
      </xdr:nvPicPr>
      <xdr:blipFill>
        <a:blip r:embed="rId735" cstate="print"/>
        <a:stretch>
          <a:fillRect/>
        </a:stretch>
      </xdr:blipFill>
      <xdr:spPr>
        <a:xfrm>
          <a:off x="0" y="513568950"/>
          <a:ext cx="619125" cy="676275"/>
        </a:xfrm>
        <a:prstGeom prst="rect">
          <a:avLst/>
        </a:prstGeom>
      </xdr:spPr>
    </xdr:pic>
  </etc:cellImage>
  <etc:cellImage>
    <xdr:pic>
      <xdr:nvPicPr>
        <xdr:cNvPr id="738" name="ID_8639C6B2E5D541808762BDEDF2CE5784" descr="Picture"/>
        <xdr:cNvPicPr/>
      </xdr:nvPicPr>
      <xdr:blipFill>
        <a:blip r:embed="rId736" cstate="print"/>
        <a:stretch>
          <a:fillRect/>
        </a:stretch>
      </xdr:blipFill>
      <xdr:spPr>
        <a:xfrm>
          <a:off x="0" y="514267450"/>
          <a:ext cx="619125" cy="676275"/>
        </a:xfrm>
        <a:prstGeom prst="rect">
          <a:avLst/>
        </a:prstGeom>
      </xdr:spPr>
    </xdr:pic>
  </etc:cellImage>
  <etc:cellImage>
    <xdr:pic>
      <xdr:nvPicPr>
        <xdr:cNvPr id="739" name="ID_12434FAB892949FFAD9187B889E063D4" descr="Picture"/>
        <xdr:cNvPicPr/>
      </xdr:nvPicPr>
      <xdr:blipFill>
        <a:blip r:embed="rId737" cstate="print"/>
        <a:stretch>
          <a:fillRect/>
        </a:stretch>
      </xdr:blipFill>
      <xdr:spPr>
        <a:xfrm>
          <a:off x="0" y="514965950"/>
          <a:ext cx="619125" cy="676275"/>
        </a:xfrm>
        <a:prstGeom prst="rect">
          <a:avLst/>
        </a:prstGeom>
      </xdr:spPr>
    </xdr:pic>
  </etc:cellImage>
  <etc:cellImage>
    <xdr:pic>
      <xdr:nvPicPr>
        <xdr:cNvPr id="740" name="ID_8C2A42962F874F14859574492A516378" descr="Picture"/>
        <xdr:cNvPicPr/>
      </xdr:nvPicPr>
      <xdr:blipFill>
        <a:blip r:embed="rId738" cstate="print"/>
        <a:stretch>
          <a:fillRect/>
        </a:stretch>
      </xdr:blipFill>
      <xdr:spPr>
        <a:xfrm>
          <a:off x="0" y="515664450"/>
          <a:ext cx="619125" cy="676275"/>
        </a:xfrm>
        <a:prstGeom prst="rect">
          <a:avLst/>
        </a:prstGeom>
      </xdr:spPr>
    </xdr:pic>
  </etc:cellImage>
  <etc:cellImage>
    <xdr:pic>
      <xdr:nvPicPr>
        <xdr:cNvPr id="741" name="ID_D5EB145F1A204FCBB113E07692965928" descr="Picture"/>
        <xdr:cNvPicPr/>
      </xdr:nvPicPr>
      <xdr:blipFill>
        <a:blip r:embed="rId739" cstate="print"/>
        <a:stretch>
          <a:fillRect/>
        </a:stretch>
      </xdr:blipFill>
      <xdr:spPr>
        <a:xfrm>
          <a:off x="0" y="516362950"/>
          <a:ext cx="619125" cy="676275"/>
        </a:xfrm>
        <a:prstGeom prst="rect">
          <a:avLst/>
        </a:prstGeom>
      </xdr:spPr>
    </xdr:pic>
  </etc:cellImage>
  <etc:cellImage>
    <xdr:pic>
      <xdr:nvPicPr>
        <xdr:cNvPr id="742" name="ID_D9E7A15EE6E1461DA281ABC23A711CB9" descr="Picture"/>
        <xdr:cNvPicPr/>
      </xdr:nvPicPr>
      <xdr:blipFill>
        <a:blip r:embed="rId740" cstate="print"/>
        <a:stretch>
          <a:fillRect/>
        </a:stretch>
      </xdr:blipFill>
      <xdr:spPr>
        <a:xfrm>
          <a:off x="0" y="517061450"/>
          <a:ext cx="619125" cy="676275"/>
        </a:xfrm>
        <a:prstGeom prst="rect">
          <a:avLst/>
        </a:prstGeom>
      </xdr:spPr>
    </xdr:pic>
  </etc:cellImage>
  <etc:cellImage>
    <xdr:pic>
      <xdr:nvPicPr>
        <xdr:cNvPr id="743" name="ID_BA476C37A43F4609B2AD48D2DEEB7BFD" descr="Picture"/>
        <xdr:cNvPicPr/>
      </xdr:nvPicPr>
      <xdr:blipFill>
        <a:blip r:embed="rId741" cstate="print"/>
        <a:stretch>
          <a:fillRect/>
        </a:stretch>
      </xdr:blipFill>
      <xdr:spPr>
        <a:xfrm>
          <a:off x="0" y="517759950"/>
          <a:ext cx="619125" cy="676275"/>
        </a:xfrm>
        <a:prstGeom prst="rect">
          <a:avLst/>
        </a:prstGeom>
      </xdr:spPr>
    </xdr:pic>
  </etc:cellImage>
  <etc:cellImage>
    <xdr:pic>
      <xdr:nvPicPr>
        <xdr:cNvPr id="744" name="ID_138B3458E9E2459DB0DB4FCB2B800199" descr="Picture"/>
        <xdr:cNvPicPr/>
      </xdr:nvPicPr>
      <xdr:blipFill>
        <a:blip r:embed="rId742" cstate="print"/>
        <a:stretch>
          <a:fillRect/>
        </a:stretch>
      </xdr:blipFill>
      <xdr:spPr>
        <a:xfrm>
          <a:off x="0" y="518458450"/>
          <a:ext cx="619125" cy="676275"/>
        </a:xfrm>
        <a:prstGeom prst="rect">
          <a:avLst/>
        </a:prstGeom>
      </xdr:spPr>
    </xdr:pic>
  </etc:cellImage>
  <etc:cellImage>
    <xdr:pic>
      <xdr:nvPicPr>
        <xdr:cNvPr id="745" name="ID_1EAE174681254F90A4CB9CDDABE54B06" descr="Picture"/>
        <xdr:cNvPicPr/>
      </xdr:nvPicPr>
      <xdr:blipFill>
        <a:blip r:embed="rId743" cstate="print"/>
        <a:stretch>
          <a:fillRect/>
        </a:stretch>
      </xdr:blipFill>
      <xdr:spPr>
        <a:xfrm>
          <a:off x="0" y="519156950"/>
          <a:ext cx="619125" cy="676275"/>
        </a:xfrm>
        <a:prstGeom prst="rect">
          <a:avLst/>
        </a:prstGeom>
      </xdr:spPr>
    </xdr:pic>
  </etc:cellImage>
  <etc:cellImage>
    <xdr:pic>
      <xdr:nvPicPr>
        <xdr:cNvPr id="746" name="ID_0C7CBDCF6B974E57964DEFD787E0E8D1" descr="Picture"/>
        <xdr:cNvPicPr/>
      </xdr:nvPicPr>
      <xdr:blipFill>
        <a:blip r:embed="rId744" cstate="print"/>
        <a:stretch>
          <a:fillRect/>
        </a:stretch>
      </xdr:blipFill>
      <xdr:spPr>
        <a:xfrm>
          <a:off x="0" y="519855450"/>
          <a:ext cx="619125" cy="676275"/>
        </a:xfrm>
        <a:prstGeom prst="rect">
          <a:avLst/>
        </a:prstGeom>
      </xdr:spPr>
    </xdr:pic>
  </etc:cellImage>
  <etc:cellImage>
    <xdr:pic>
      <xdr:nvPicPr>
        <xdr:cNvPr id="747" name="ID_156AD30E2EE64A43A53457392896A64D" descr="Picture"/>
        <xdr:cNvPicPr/>
      </xdr:nvPicPr>
      <xdr:blipFill>
        <a:blip r:embed="rId745" cstate="print"/>
        <a:stretch>
          <a:fillRect/>
        </a:stretch>
      </xdr:blipFill>
      <xdr:spPr>
        <a:xfrm>
          <a:off x="0" y="520553950"/>
          <a:ext cx="619125" cy="676275"/>
        </a:xfrm>
        <a:prstGeom prst="rect">
          <a:avLst/>
        </a:prstGeom>
      </xdr:spPr>
    </xdr:pic>
  </etc:cellImage>
  <etc:cellImage>
    <xdr:pic>
      <xdr:nvPicPr>
        <xdr:cNvPr id="748" name="ID_408E8E9B8E5540399103DA31E1B4E456" descr="Picture"/>
        <xdr:cNvPicPr/>
      </xdr:nvPicPr>
      <xdr:blipFill>
        <a:blip r:embed="rId746" cstate="print"/>
        <a:stretch>
          <a:fillRect/>
        </a:stretch>
      </xdr:blipFill>
      <xdr:spPr>
        <a:xfrm>
          <a:off x="0" y="521252450"/>
          <a:ext cx="619125" cy="676275"/>
        </a:xfrm>
        <a:prstGeom prst="rect">
          <a:avLst/>
        </a:prstGeom>
      </xdr:spPr>
    </xdr:pic>
  </etc:cellImage>
  <etc:cellImage>
    <xdr:pic>
      <xdr:nvPicPr>
        <xdr:cNvPr id="749" name="ID_C848D5B7A6F64F8B98066C55E27C4BD3" descr="Picture"/>
        <xdr:cNvPicPr/>
      </xdr:nvPicPr>
      <xdr:blipFill>
        <a:blip r:embed="rId747" cstate="print"/>
        <a:stretch>
          <a:fillRect/>
        </a:stretch>
      </xdr:blipFill>
      <xdr:spPr>
        <a:xfrm>
          <a:off x="0" y="521950950"/>
          <a:ext cx="619125" cy="676275"/>
        </a:xfrm>
        <a:prstGeom prst="rect">
          <a:avLst/>
        </a:prstGeom>
      </xdr:spPr>
    </xdr:pic>
  </etc:cellImage>
  <etc:cellImage>
    <xdr:pic>
      <xdr:nvPicPr>
        <xdr:cNvPr id="750" name="ID_3242211C128B49AB87D034A9BA3B0A45" descr="Picture"/>
        <xdr:cNvPicPr/>
      </xdr:nvPicPr>
      <xdr:blipFill>
        <a:blip r:embed="rId748" cstate="print"/>
        <a:stretch>
          <a:fillRect/>
        </a:stretch>
      </xdr:blipFill>
      <xdr:spPr>
        <a:xfrm>
          <a:off x="0" y="522649450"/>
          <a:ext cx="619125" cy="676275"/>
        </a:xfrm>
        <a:prstGeom prst="rect">
          <a:avLst/>
        </a:prstGeom>
      </xdr:spPr>
    </xdr:pic>
  </etc:cellImage>
  <etc:cellImage>
    <xdr:pic>
      <xdr:nvPicPr>
        <xdr:cNvPr id="751" name="ID_B40C991D11FA4C10BA3E2387B8A7F7D3" descr="Picture"/>
        <xdr:cNvPicPr/>
      </xdr:nvPicPr>
      <xdr:blipFill>
        <a:blip r:embed="rId749" cstate="print"/>
        <a:stretch>
          <a:fillRect/>
        </a:stretch>
      </xdr:blipFill>
      <xdr:spPr>
        <a:xfrm>
          <a:off x="0" y="523347950"/>
          <a:ext cx="619125" cy="676275"/>
        </a:xfrm>
        <a:prstGeom prst="rect">
          <a:avLst/>
        </a:prstGeom>
      </xdr:spPr>
    </xdr:pic>
  </etc:cellImage>
  <etc:cellImage>
    <xdr:pic>
      <xdr:nvPicPr>
        <xdr:cNvPr id="752" name="ID_B8D536797A8945BE8E1A0813012F6E81" descr="Picture"/>
        <xdr:cNvPicPr/>
      </xdr:nvPicPr>
      <xdr:blipFill>
        <a:blip r:embed="rId750" cstate="print"/>
        <a:stretch>
          <a:fillRect/>
        </a:stretch>
      </xdr:blipFill>
      <xdr:spPr>
        <a:xfrm>
          <a:off x="0" y="524046450"/>
          <a:ext cx="619125" cy="676275"/>
        </a:xfrm>
        <a:prstGeom prst="rect">
          <a:avLst/>
        </a:prstGeom>
      </xdr:spPr>
    </xdr:pic>
  </etc:cellImage>
  <etc:cellImage>
    <xdr:pic>
      <xdr:nvPicPr>
        <xdr:cNvPr id="753" name="ID_95CA81BF2C2E437583DB152417CD33EB" descr="Picture"/>
        <xdr:cNvPicPr/>
      </xdr:nvPicPr>
      <xdr:blipFill>
        <a:blip r:embed="rId751" cstate="print"/>
        <a:stretch>
          <a:fillRect/>
        </a:stretch>
      </xdr:blipFill>
      <xdr:spPr>
        <a:xfrm>
          <a:off x="0" y="524744950"/>
          <a:ext cx="619125" cy="676275"/>
        </a:xfrm>
        <a:prstGeom prst="rect">
          <a:avLst/>
        </a:prstGeom>
      </xdr:spPr>
    </xdr:pic>
  </etc:cellImage>
  <etc:cellImage>
    <xdr:pic>
      <xdr:nvPicPr>
        <xdr:cNvPr id="754" name="ID_A7550CD0E80F480EAB4D202E54C169F1" descr="Picture"/>
        <xdr:cNvPicPr/>
      </xdr:nvPicPr>
      <xdr:blipFill>
        <a:blip r:embed="rId752" cstate="print"/>
        <a:stretch>
          <a:fillRect/>
        </a:stretch>
      </xdr:blipFill>
      <xdr:spPr>
        <a:xfrm>
          <a:off x="0" y="525443450"/>
          <a:ext cx="619125" cy="676275"/>
        </a:xfrm>
        <a:prstGeom prst="rect">
          <a:avLst/>
        </a:prstGeom>
      </xdr:spPr>
    </xdr:pic>
  </etc:cellImage>
  <etc:cellImage>
    <xdr:pic>
      <xdr:nvPicPr>
        <xdr:cNvPr id="755" name="ID_22DF3239DA424BBFB91B99EC11543820" descr="Picture"/>
        <xdr:cNvPicPr/>
      </xdr:nvPicPr>
      <xdr:blipFill>
        <a:blip r:embed="rId753" cstate="print"/>
        <a:stretch>
          <a:fillRect/>
        </a:stretch>
      </xdr:blipFill>
      <xdr:spPr>
        <a:xfrm>
          <a:off x="0" y="526141950"/>
          <a:ext cx="619125" cy="676275"/>
        </a:xfrm>
        <a:prstGeom prst="rect">
          <a:avLst/>
        </a:prstGeom>
      </xdr:spPr>
    </xdr:pic>
  </etc:cellImage>
  <etc:cellImage>
    <xdr:pic>
      <xdr:nvPicPr>
        <xdr:cNvPr id="756" name="ID_332DD00512AC4D12AD313541A96083B9" descr="Picture"/>
        <xdr:cNvPicPr/>
      </xdr:nvPicPr>
      <xdr:blipFill>
        <a:blip r:embed="rId754" cstate="print"/>
        <a:stretch>
          <a:fillRect/>
        </a:stretch>
      </xdr:blipFill>
      <xdr:spPr>
        <a:xfrm>
          <a:off x="0" y="526840450"/>
          <a:ext cx="619125" cy="676275"/>
        </a:xfrm>
        <a:prstGeom prst="rect">
          <a:avLst/>
        </a:prstGeom>
      </xdr:spPr>
    </xdr:pic>
  </etc:cellImage>
  <etc:cellImage>
    <xdr:pic>
      <xdr:nvPicPr>
        <xdr:cNvPr id="757" name="ID_1B25ED74E1F9427F9BDE314B78A8393C" descr="Picture"/>
        <xdr:cNvPicPr/>
      </xdr:nvPicPr>
      <xdr:blipFill>
        <a:blip r:embed="rId755" cstate="print"/>
        <a:stretch>
          <a:fillRect/>
        </a:stretch>
      </xdr:blipFill>
      <xdr:spPr>
        <a:xfrm>
          <a:off x="0" y="527538950"/>
          <a:ext cx="619125" cy="676275"/>
        </a:xfrm>
        <a:prstGeom prst="rect">
          <a:avLst/>
        </a:prstGeom>
      </xdr:spPr>
    </xdr:pic>
  </etc:cellImage>
  <etc:cellImage>
    <xdr:pic>
      <xdr:nvPicPr>
        <xdr:cNvPr id="758" name="ID_8523E7C850B7450788E78ABFB86A1578" descr="Picture"/>
        <xdr:cNvPicPr/>
      </xdr:nvPicPr>
      <xdr:blipFill>
        <a:blip r:embed="rId756" cstate="print"/>
        <a:stretch>
          <a:fillRect/>
        </a:stretch>
      </xdr:blipFill>
      <xdr:spPr>
        <a:xfrm>
          <a:off x="0" y="528237450"/>
          <a:ext cx="619125" cy="676275"/>
        </a:xfrm>
        <a:prstGeom prst="rect">
          <a:avLst/>
        </a:prstGeom>
      </xdr:spPr>
    </xdr:pic>
  </etc:cellImage>
  <etc:cellImage>
    <xdr:pic>
      <xdr:nvPicPr>
        <xdr:cNvPr id="759" name="ID_737C92BA30C04D99ACFDF3673769B804" descr="Picture"/>
        <xdr:cNvPicPr/>
      </xdr:nvPicPr>
      <xdr:blipFill>
        <a:blip r:embed="rId757" cstate="print"/>
        <a:stretch>
          <a:fillRect/>
        </a:stretch>
      </xdr:blipFill>
      <xdr:spPr>
        <a:xfrm>
          <a:off x="0" y="528935950"/>
          <a:ext cx="619125" cy="676275"/>
        </a:xfrm>
        <a:prstGeom prst="rect">
          <a:avLst/>
        </a:prstGeom>
      </xdr:spPr>
    </xdr:pic>
  </etc:cellImage>
  <etc:cellImage>
    <xdr:pic>
      <xdr:nvPicPr>
        <xdr:cNvPr id="760" name="ID_65CC789C8085435EABFDB0828249D354" descr="Picture"/>
        <xdr:cNvPicPr/>
      </xdr:nvPicPr>
      <xdr:blipFill>
        <a:blip r:embed="rId758" cstate="print"/>
        <a:stretch>
          <a:fillRect/>
        </a:stretch>
      </xdr:blipFill>
      <xdr:spPr>
        <a:xfrm>
          <a:off x="0" y="529634450"/>
          <a:ext cx="619125" cy="676275"/>
        </a:xfrm>
        <a:prstGeom prst="rect">
          <a:avLst/>
        </a:prstGeom>
      </xdr:spPr>
    </xdr:pic>
  </etc:cellImage>
  <etc:cellImage>
    <xdr:pic>
      <xdr:nvPicPr>
        <xdr:cNvPr id="761" name="ID_C37375F9F5EB452DA24E776121123C85" descr="Picture"/>
        <xdr:cNvPicPr/>
      </xdr:nvPicPr>
      <xdr:blipFill>
        <a:blip r:embed="rId759" cstate="print"/>
        <a:stretch>
          <a:fillRect/>
        </a:stretch>
      </xdr:blipFill>
      <xdr:spPr>
        <a:xfrm>
          <a:off x="0" y="530332950"/>
          <a:ext cx="619125" cy="676275"/>
        </a:xfrm>
        <a:prstGeom prst="rect">
          <a:avLst/>
        </a:prstGeom>
      </xdr:spPr>
    </xdr:pic>
  </etc:cellImage>
  <etc:cellImage>
    <xdr:pic>
      <xdr:nvPicPr>
        <xdr:cNvPr id="762" name="ID_9B13D57AD22F4E5F92C6699A77FE3353" descr="Picture"/>
        <xdr:cNvPicPr/>
      </xdr:nvPicPr>
      <xdr:blipFill>
        <a:blip r:embed="rId760" cstate="print"/>
        <a:stretch>
          <a:fillRect/>
        </a:stretch>
      </xdr:blipFill>
      <xdr:spPr>
        <a:xfrm>
          <a:off x="0" y="531031450"/>
          <a:ext cx="619125" cy="676275"/>
        </a:xfrm>
        <a:prstGeom prst="rect">
          <a:avLst/>
        </a:prstGeom>
      </xdr:spPr>
    </xdr:pic>
  </etc:cellImage>
  <etc:cellImage>
    <xdr:pic>
      <xdr:nvPicPr>
        <xdr:cNvPr id="763" name="ID_C21B34D69C934F199D5086CCC4D1FDF5" descr="Picture"/>
        <xdr:cNvPicPr/>
      </xdr:nvPicPr>
      <xdr:blipFill>
        <a:blip r:embed="rId761" cstate="print"/>
        <a:stretch>
          <a:fillRect/>
        </a:stretch>
      </xdr:blipFill>
      <xdr:spPr>
        <a:xfrm>
          <a:off x="0" y="531729950"/>
          <a:ext cx="619125" cy="676275"/>
        </a:xfrm>
        <a:prstGeom prst="rect">
          <a:avLst/>
        </a:prstGeom>
      </xdr:spPr>
    </xdr:pic>
  </etc:cellImage>
  <etc:cellImage>
    <xdr:pic>
      <xdr:nvPicPr>
        <xdr:cNvPr id="764" name="ID_18D24844498A40A38C11BC388B5508F4" descr="Picture"/>
        <xdr:cNvPicPr/>
      </xdr:nvPicPr>
      <xdr:blipFill>
        <a:blip r:embed="rId762" cstate="print"/>
        <a:stretch>
          <a:fillRect/>
        </a:stretch>
      </xdr:blipFill>
      <xdr:spPr>
        <a:xfrm>
          <a:off x="0" y="532428450"/>
          <a:ext cx="619125" cy="676275"/>
        </a:xfrm>
        <a:prstGeom prst="rect">
          <a:avLst/>
        </a:prstGeom>
      </xdr:spPr>
    </xdr:pic>
  </etc:cellImage>
  <etc:cellImage>
    <xdr:pic>
      <xdr:nvPicPr>
        <xdr:cNvPr id="765" name="ID_CF1622E0BBD54FB687985E62384638DA" descr="Picture"/>
        <xdr:cNvPicPr/>
      </xdr:nvPicPr>
      <xdr:blipFill>
        <a:blip r:embed="rId763" cstate="print"/>
        <a:stretch>
          <a:fillRect/>
        </a:stretch>
      </xdr:blipFill>
      <xdr:spPr>
        <a:xfrm>
          <a:off x="0" y="533126950"/>
          <a:ext cx="619125" cy="676275"/>
        </a:xfrm>
        <a:prstGeom prst="rect">
          <a:avLst/>
        </a:prstGeom>
      </xdr:spPr>
    </xdr:pic>
  </etc:cellImage>
  <etc:cellImage>
    <xdr:pic>
      <xdr:nvPicPr>
        <xdr:cNvPr id="766" name="ID_8CBBCFE8265D40C5A987DA6A6A6C6C09" descr="Picture"/>
        <xdr:cNvPicPr/>
      </xdr:nvPicPr>
      <xdr:blipFill>
        <a:blip r:embed="rId764" cstate="print"/>
        <a:stretch>
          <a:fillRect/>
        </a:stretch>
      </xdr:blipFill>
      <xdr:spPr>
        <a:xfrm>
          <a:off x="0" y="533825450"/>
          <a:ext cx="619125" cy="676275"/>
        </a:xfrm>
        <a:prstGeom prst="rect">
          <a:avLst/>
        </a:prstGeom>
      </xdr:spPr>
    </xdr:pic>
  </etc:cellImage>
  <etc:cellImage>
    <xdr:pic>
      <xdr:nvPicPr>
        <xdr:cNvPr id="767" name="ID_A79DB27EE3944C7BB26F37CA74719176" descr="Picture"/>
        <xdr:cNvPicPr/>
      </xdr:nvPicPr>
      <xdr:blipFill>
        <a:blip r:embed="rId765" cstate="print"/>
        <a:stretch>
          <a:fillRect/>
        </a:stretch>
      </xdr:blipFill>
      <xdr:spPr>
        <a:xfrm>
          <a:off x="0" y="534523950"/>
          <a:ext cx="619125" cy="676275"/>
        </a:xfrm>
        <a:prstGeom prst="rect">
          <a:avLst/>
        </a:prstGeom>
      </xdr:spPr>
    </xdr:pic>
  </etc:cellImage>
  <etc:cellImage>
    <xdr:pic>
      <xdr:nvPicPr>
        <xdr:cNvPr id="768" name="ID_7A67B8014FE44289901B430EE144340B" descr="Picture"/>
        <xdr:cNvPicPr/>
      </xdr:nvPicPr>
      <xdr:blipFill>
        <a:blip r:embed="rId766" cstate="print"/>
        <a:stretch>
          <a:fillRect/>
        </a:stretch>
      </xdr:blipFill>
      <xdr:spPr>
        <a:xfrm>
          <a:off x="0" y="535222450"/>
          <a:ext cx="619125" cy="676275"/>
        </a:xfrm>
        <a:prstGeom prst="rect">
          <a:avLst/>
        </a:prstGeom>
      </xdr:spPr>
    </xdr:pic>
  </etc:cellImage>
  <etc:cellImage>
    <xdr:pic>
      <xdr:nvPicPr>
        <xdr:cNvPr id="769" name="ID_15D44B641BB346938B8F6D72C3FC1B55" descr="Picture"/>
        <xdr:cNvPicPr/>
      </xdr:nvPicPr>
      <xdr:blipFill>
        <a:blip r:embed="rId767" cstate="print"/>
        <a:stretch>
          <a:fillRect/>
        </a:stretch>
      </xdr:blipFill>
      <xdr:spPr>
        <a:xfrm>
          <a:off x="0" y="535920950"/>
          <a:ext cx="619125" cy="676275"/>
        </a:xfrm>
        <a:prstGeom prst="rect">
          <a:avLst/>
        </a:prstGeom>
      </xdr:spPr>
    </xdr:pic>
  </etc:cellImage>
  <etc:cellImage>
    <xdr:pic>
      <xdr:nvPicPr>
        <xdr:cNvPr id="770" name="ID_5B39779E144347A6913B276169556D9C" descr="Picture"/>
        <xdr:cNvPicPr/>
      </xdr:nvPicPr>
      <xdr:blipFill>
        <a:blip r:embed="rId768" cstate="print"/>
        <a:stretch>
          <a:fillRect/>
        </a:stretch>
      </xdr:blipFill>
      <xdr:spPr>
        <a:xfrm>
          <a:off x="0" y="536619450"/>
          <a:ext cx="619125" cy="676275"/>
        </a:xfrm>
        <a:prstGeom prst="rect">
          <a:avLst/>
        </a:prstGeom>
      </xdr:spPr>
    </xdr:pic>
  </etc:cellImage>
  <etc:cellImage>
    <xdr:pic>
      <xdr:nvPicPr>
        <xdr:cNvPr id="771" name="ID_8775B87675F047518CC165B5F1FEF37E" descr="Picture"/>
        <xdr:cNvPicPr/>
      </xdr:nvPicPr>
      <xdr:blipFill>
        <a:blip r:embed="rId769" cstate="print"/>
        <a:stretch>
          <a:fillRect/>
        </a:stretch>
      </xdr:blipFill>
      <xdr:spPr>
        <a:xfrm>
          <a:off x="0" y="537317950"/>
          <a:ext cx="619125" cy="676275"/>
        </a:xfrm>
        <a:prstGeom prst="rect">
          <a:avLst/>
        </a:prstGeom>
      </xdr:spPr>
    </xdr:pic>
  </etc:cellImage>
  <etc:cellImage>
    <xdr:pic>
      <xdr:nvPicPr>
        <xdr:cNvPr id="772" name="ID_9FA70C3648F741D2A5DF59E735716AB6" descr="Picture"/>
        <xdr:cNvPicPr/>
      </xdr:nvPicPr>
      <xdr:blipFill>
        <a:blip r:embed="rId770" cstate="print"/>
        <a:stretch>
          <a:fillRect/>
        </a:stretch>
      </xdr:blipFill>
      <xdr:spPr>
        <a:xfrm>
          <a:off x="0" y="538016450"/>
          <a:ext cx="619125" cy="676275"/>
        </a:xfrm>
        <a:prstGeom prst="rect">
          <a:avLst/>
        </a:prstGeom>
      </xdr:spPr>
    </xdr:pic>
  </etc:cellImage>
  <etc:cellImage>
    <xdr:pic>
      <xdr:nvPicPr>
        <xdr:cNvPr id="773" name="ID_E19890B912264299A06F8F51583BCBB8" descr="Picture"/>
        <xdr:cNvPicPr/>
      </xdr:nvPicPr>
      <xdr:blipFill>
        <a:blip r:embed="rId771" cstate="print"/>
        <a:stretch>
          <a:fillRect/>
        </a:stretch>
      </xdr:blipFill>
      <xdr:spPr>
        <a:xfrm>
          <a:off x="0" y="538714950"/>
          <a:ext cx="619125" cy="676275"/>
        </a:xfrm>
        <a:prstGeom prst="rect">
          <a:avLst/>
        </a:prstGeom>
      </xdr:spPr>
    </xdr:pic>
  </etc:cellImage>
  <etc:cellImage>
    <xdr:pic>
      <xdr:nvPicPr>
        <xdr:cNvPr id="774" name="ID_3B5295A2B82342EF9A93D90C86871D5E" descr="Picture"/>
        <xdr:cNvPicPr/>
      </xdr:nvPicPr>
      <xdr:blipFill>
        <a:blip r:embed="rId772" cstate="print"/>
        <a:stretch>
          <a:fillRect/>
        </a:stretch>
      </xdr:blipFill>
      <xdr:spPr>
        <a:xfrm>
          <a:off x="0" y="539413450"/>
          <a:ext cx="619125" cy="676275"/>
        </a:xfrm>
        <a:prstGeom prst="rect">
          <a:avLst/>
        </a:prstGeom>
      </xdr:spPr>
    </xdr:pic>
  </etc:cellImage>
  <etc:cellImage>
    <xdr:pic>
      <xdr:nvPicPr>
        <xdr:cNvPr id="775" name="ID_57C00098FB174C8AAE4633218FE8B1B1" descr="Picture"/>
        <xdr:cNvPicPr/>
      </xdr:nvPicPr>
      <xdr:blipFill>
        <a:blip r:embed="rId773" cstate="print"/>
        <a:stretch>
          <a:fillRect/>
        </a:stretch>
      </xdr:blipFill>
      <xdr:spPr>
        <a:xfrm>
          <a:off x="0" y="540111950"/>
          <a:ext cx="619125" cy="676275"/>
        </a:xfrm>
        <a:prstGeom prst="rect">
          <a:avLst/>
        </a:prstGeom>
      </xdr:spPr>
    </xdr:pic>
  </etc:cellImage>
  <etc:cellImage>
    <xdr:pic>
      <xdr:nvPicPr>
        <xdr:cNvPr id="776" name="ID_D256D88EF6E141B7A471A7AAD2C138D6" descr="Picture"/>
        <xdr:cNvPicPr/>
      </xdr:nvPicPr>
      <xdr:blipFill>
        <a:blip r:embed="rId774" cstate="print"/>
        <a:stretch>
          <a:fillRect/>
        </a:stretch>
      </xdr:blipFill>
      <xdr:spPr>
        <a:xfrm>
          <a:off x="0" y="540810450"/>
          <a:ext cx="619125" cy="676275"/>
        </a:xfrm>
        <a:prstGeom prst="rect">
          <a:avLst/>
        </a:prstGeom>
      </xdr:spPr>
    </xdr:pic>
  </etc:cellImage>
  <etc:cellImage>
    <xdr:pic>
      <xdr:nvPicPr>
        <xdr:cNvPr id="777" name="ID_F12F6048839345E5AEE099D54512E9CB" descr="Picture"/>
        <xdr:cNvPicPr/>
      </xdr:nvPicPr>
      <xdr:blipFill>
        <a:blip r:embed="rId775" cstate="print"/>
        <a:stretch>
          <a:fillRect/>
        </a:stretch>
      </xdr:blipFill>
      <xdr:spPr>
        <a:xfrm>
          <a:off x="0" y="541508950"/>
          <a:ext cx="619125" cy="676275"/>
        </a:xfrm>
        <a:prstGeom prst="rect">
          <a:avLst/>
        </a:prstGeom>
      </xdr:spPr>
    </xdr:pic>
  </etc:cellImage>
  <etc:cellImage>
    <xdr:pic>
      <xdr:nvPicPr>
        <xdr:cNvPr id="778" name="ID_67CF8CC90E104B549B3ADB1D37EC0BF5" descr="Picture"/>
        <xdr:cNvPicPr/>
      </xdr:nvPicPr>
      <xdr:blipFill>
        <a:blip r:embed="rId776" cstate="print"/>
        <a:stretch>
          <a:fillRect/>
        </a:stretch>
      </xdr:blipFill>
      <xdr:spPr>
        <a:xfrm>
          <a:off x="0" y="542207450"/>
          <a:ext cx="619125" cy="676275"/>
        </a:xfrm>
        <a:prstGeom prst="rect">
          <a:avLst/>
        </a:prstGeom>
      </xdr:spPr>
    </xdr:pic>
  </etc:cellImage>
  <etc:cellImage>
    <xdr:pic>
      <xdr:nvPicPr>
        <xdr:cNvPr id="779" name="ID_EDAACC3DB860409D8BFF1E23D129D815" descr="Picture"/>
        <xdr:cNvPicPr/>
      </xdr:nvPicPr>
      <xdr:blipFill>
        <a:blip r:embed="rId777" cstate="print"/>
        <a:stretch>
          <a:fillRect/>
        </a:stretch>
      </xdr:blipFill>
      <xdr:spPr>
        <a:xfrm>
          <a:off x="0" y="542905950"/>
          <a:ext cx="619125" cy="676275"/>
        </a:xfrm>
        <a:prstGeom prst="rect">
          <a:avLst/>
        </a:prstGeom>
      </xdr:spPr>
    </xdr:pic>
  </etc:cellImage>
  <etc:cellImage>
    <xdr:pic>
      <xdr:nvPicPr>
        <xdr:cNvPr id="780" name="ID_C7177B2E520349439F9530A9EA4DB357" descr="Picture"/>
        <xdr:cNvPicPr/>
      </xdr:nvPicPr>
      <xdr:blipFill>
        <a:blip r:embed="rId778" cstate="print"/>
        <a:stretch>
          <a:fillRect/>
        </a:stretch>
      </xdr:blipFill>
      <xdr:spPr>
        <a:xfrm>
          <a:off x="0" y="543604450"/>
          <a:ext cx="619125" cy="676275"/>
        </a:xfrm>
        <a:prstGeom prst="rect">
          <a:avLst/>
        </a:prstGeom>
      </xdr:spPr>
    </xdr:pic>
  </etc:cellImage>
  <etc:cellImage>
    <xdr:pic>
      <xdr:nvPicPr>
        <xdr:cNvPr id="781" name="ID_0184CB27205543FEA7E9AE9282010D69" descr="Picture"/>
        <xdr:cNvPicPr/>
      </xdr:nvPicPr>
      <xdr:blipFill>
        <a:blip r:embed="rId779" cstate="print"/>
        <a:stretch>
          <a:fillRect/>
        </a:stretch>
      </xdr:blipFill>
      <xdr:spPr>
        <a:xfrm>
          <a:off x="0" y="544302950"/>
          <a:ext cx="619125" cy="676275"/>
        </a:xfrm>
        <a:prstGeom prst="rect">
          <a:avLst/>
        </a:prstGeom>
      </xdr:spPr>
    </xdr:pic>
  </etc:cellImage>
  <etc:cellImage>
    <xdr:pic>
      <xdr:nvPicPr>
        <xdr:cNvPr id="782" name="ID_037D26FEA09F4CA18DD8B064D84EEDF6" descr="Picture"/>
        <xdr:cNvPicPr/>
      </xdr:nvPicPr>
      <xdr:blipFill>
        <a:blip r:embed="rId780" cstate="print"/>
        <a:stretch>
          <a:fillRect/>
        </a:stretch>
      </xdr:blipFill>
      <xdr:spPr>
        <a:xfrm>
          <a:off x="0" y="545001450"/>
          <a:ext cx="619125" cy="676275"/>
        </a:xfrm>
        <a:prstGeom prst="rect">
          <a:avLst/>
        </a:prstGeom>
      </xdr:spPr>
    </xdr:pic>
  </etc:cellImage>
  <etc:cellImage>
    <xdr:pic>
      <xdr:nvPicPr>
        <xdr:cNvPr id="783" name="ID_5D635B7765A949F1B4DC065454FFAF7B" descr="Picture"/>
        <xdr:cNvPicPr/>
      </xdr:nvPicPr>
      <xdr:blipFill>
        <a:blip r:embed="rId781" cstate="print"/>
        <a:stretch>
          <a:fillRect/>
        </a:stretch>
      </xdr:blipFill>
      <xdr:spPr>
        <a:xfrm>
          <a:off x="0" y="545699950"/>
          <a:ext cx="619125" cy="676275"/>
        </a:xfrm>
        <a:prstGeom prst="rect">
          <a:avLst/>
        </a:prstGeom>
      </xdr:spPr>
    </xdr:pic>
  </etc:cellImage>
  <etc:cellImage>
    <xdr:pic>
      <xdr:nvPicPr>
        <xdr:cNvPr id="784" name="ID_23956437FAE14FF1B70AC3E6B285BEFC" descr="Picture"/>
        <xdr:cNvPicPr/>
      </xdr:nvPicPr>
      <xdr:blipFill>
        <a:blip r:embed="rId782" cstate="print"/>
        <a:stretch>
          <a:fillRect/>
        </a:stretch>
      </xdr:blipFill>
      <xdr:spPr>
        <a:xfrm>
          <a:off x="0" y="546398450"/>
          <a:ext cx="619125" cy="676275"/>
        </a:xfrm>
        <a:prstGeom prst="rect">
          <a:avLst/>
        </a:prstGeom>
      </xdr:spPr>
    </xdr:pic>
  </etc:cellImage>
  <etc:cellImage>
    <xdr:pic>
      <xdr:nvPicPr>
        <xdr:cNvPr id="785" name="ID_0A0C320A464E4D7E92F72119A16D46BC" descr="Picture"/>
        <xdr:cNvPicPr/>
      </xdr:nvPicPr>
      <xdr:blipFill>
        <a:blip r:embed="rId783" cstate="print"/>
        <a:stretch>
          <a:fillRect/>
        </a:stretch>
      </xdr:blipFill>
      <xdr:spPr>
        <a:xfrm>
          <a:off x="0" y="547096950"/>
          <a:ext cx="619125" cy="676275"/>
        </a:xfrm>
        <a:prstGeom prst="rect">
          <a:avLst/>
        </a:prstGeom>
      </xdr:spPr>
    </xdr:pic>
  </etc:cellImage>
  <etc:cellImage>
    <xdr:pic>
      <xdr:nvPicPr>
        <xdr:cNvPr id="786" name="ID_EA9008FDFBB247729195D9442013D7F9" descr="Picture"/>
        <xdr:cNvPicPr/>
      </xdr:nvPicPr>
      <xdr:blipFill>
        <a:blip r:embed="rId784" cstate="print"/>
        <a:stretch>
          <a:fillRect/>
        </a:stretch>
      </xdr:blipFill>
      <xdr:spPr>
        <a:xfrm>
          <a:off x="0" y="547795450"/>
          <a:ext cx="619125" cy="676275"/>
        </a:xfrm>
        <a:prstGeom prst="rect">
          <a:avLst/>
        </a:prstGeom>
      </xdr:spPr>
    </xdr:pic>
  </etc:cellImage>
  <etc:cellImage>
    <xdr:pic>
      <xdr:nvPicPr>
        <xdr:cNvPr id="787" name="ID_B57AE406A74541AAB1A084887A753413" descr="Picture"/>
        <xdr:cNvPicPr/>
      </xdr:nvPicPr>
      <xdr:blipFill>
        <a:blip r:embed="rId785" cstate="print"/>
        <a:stretch>
          <a:fillRect/>
        </a:stretch>
      </xdr:blipFill>
      <xdr:spPr>
        <a:xfrm>
          <a:off x="0" y="548493950"/>
          <a:ext cx="619125" cy="676275"/>
        </a:xfrm>
        <a:prstGeom prst="rect">
          <a:avLst/>
        </a:prstGeom>
      </xdr:spPr>
    </xdr:pic>
  </etc:cellImage>
  <etc:cellImage>
    <xdr:pic>
      <xdr:nvPicPr>
        <xdr:cNvPr id="788" name="ID_7F035E7383E148BEA11C572E0C5FE7FB" descr="Picture"/>
        <xdr:cNvPicPr/>
      </xdr:nvPicPr>
      <xdr:blipFill>
        <a:blip r:embed="rId786" cstate="print"/>
        <a:stretch>
          <a:fillRect/>
        </a:stretch>
      </xdr:blipFill>
      <xdr:spPr>
        <a:xfrm>
          <a:off x="0" y="549192450"/>
          <a:ext cx="619125" cy="676275"/>
        </a:xfrm>
        <a:prstGeom prst="rect">
          <a:avLst/>
        </a:prstGeom>
      </xdr:spPr>
    </xdr:pic>
  </etc:cellImage>
  <etc:cellImage>
    <xdr:pic>
      <xdr:nvPicPr>
        <xdr:cNvPr id="789" name="ID_AA6DB6593DC544EA904CE4267A60B4AA" descr="Picture"/>
        <xdr:cNvPicPr/>
      </xdr:nvPicPr>
      <xdr:blipFill>
        <a:blip r:embed="rId787" cstate="print"/>
        <a:stretch>
          <a:fillRect/>
        </a:stretch>
      </xdr:blipFill>
      <xdr:spPr>
        <a:xfrm>
          <a:off x="0" y="549890950"/>
          <a:ext cx="619125" cy="676275"/>
        </a:xfrm>
        <a:prstGeom prst="rect">
          <a:avLst/>
        </a:prstGeom>
      </xdr:spPr>
    </xdr:pic>
  </etc:cellImage>
  <etc:cellImage>
    <xdr:pic>
      <xdr:nvPicPr>
        <xdr:cNvPr id="790" name="ID_5C8FA09CD6024CD78A29649B8B38E576" descr="Picture"/>
        <xdr:cNvPicPr/>
      </xdr:nvPicPr>
      <xdr:blipFill>
        <a:blip r:embed="rId788" cstate="print"/>
        <a:stretch>
          <a:fillRect/>
        </a:stretch>
      </xdr:blipFill>
      <xdr:spPr>
        <a:xfrm>
          <a:off x="0" y="550589450"/>
          <a:ext cx="619125" cy="676275"/>
        </a:xfrm>
        <a:prstGeom prst="rect">
          <a:avLst/>
        </a:prstGeom>
      </xdr:spPr>
    </xdr:pic>
  </etc:cellImage>
  <etc:cellImage>
    <xdr:pic>
      <xdr:nvPicPr>
        <xdr:cNvPr id="791" name="ID_4F238D2CA42A4B3A8529CE9E428DB41A" descr="Picture"/>
        <xdr:cNvPicPr/>
      </xdr:nvPicPr>
      <xdr:blipFill>
        <a:blip r:embed="rId789" cstate="print"/>
        <a:stretch>
          <a:fillRect/>
        </a:stretch>
      </xdr:blipFill>
      <xdr:spPr>
        <a:xfrm>
          <a:off x="0" y="551287950"/>
          <a:ext cx="619125" cy="676275"/>
        </a:xfrm>
        <a:prstGeom prst="rect">
          <a:avLst/>
        </a:prstGeom>
      </xdr:spPr>
    </xdr:pic>
  </etc:cellImage>
  <etc:cellImage>
    <xdr:pic>
      <xdr:nvPicPr>
        <xdr:cNvPr id="792" name="ID_C5BCD41C2D8748C1B3BDD999E4FAD5E1" descr="Picture"/>
        <xdr:cNvPicPr/>
      </xdr:nvPicPr>
      <xdr:blipFill>
        <a:blip r:embed="rId790" cstate="print"/>
        <a:stretch>
          <a:fillRect/>
        </a:stretch>
      </xdr:blipFill>
      <xdr:spPr>
        <a:xfrm>
          <a:off x="0" y="551986450"/>
          <a:ext cx="619125" cy="676275"/>
        </a:xfrm>
        <a:prstGeom prst="rect">
          <a:avLst/>
        </a:prstGeom>
      </xdr:spPr>
    </xdr:pic>
  </etc:cellImage>
  <etc:cellImage>
    <xdr:pic>
      <xdr:nvPicPr>
        <xdr:cNvPr id="793" name="ID_F6CE8DA605464BBF960F0B539AEE6A0B" descr="Picture"/>
        <xdr:cNvPicPr/>
      </xdr:nvPicPr>
      <xdr:blipFill>
        <a:blip r:embed="rId791" cstate="print"/>
        <a:stretch>
          <a:fillRect/>
        </a:stretch>
      </xdr:blipFill>
      <xdr:spPr>
        <a:xfrm>
          <a:off x="0" y="552684950"/>
          <a:ext cx="619125" cy="676275"/>
        </a:xfrm>
        <a:prstGeom prst="rect">
          <a:avLst/>
        </a:prstGeom>
      </xdr:spPr>
    </xdr:pic>
  </etc:cellImage>
  <etc:cellImage>
    <xdr:pic>
      <xdr:nvPicPr>
        <xdr:cNvPr id="794" name="ID_8BFB31DB08B8406EAA4CCD59031AD965" descr="Picture"/>
        <xdr:cNvPicPr/>
      </xdr:nvPicPr>
      <xdr:blipFill>
        <a:blip r:embed="rId792" cstate="print"/>
        <a:stretch>
          <a:fillRect/>
        </a:stretch>
      </xdr:blipFill>
      <xdr:spPr>
        <a:xfrm>
          <a:off x="0" y="553383450"/>
          <a:ext cx="619125" cy="676275"/>
        </a:xfrm>
        <a:prstGeom prst="rect">
          <a:avLst/>
        </a:prstGeom>
      </xdr:spPr>
    </xdr:pic>
  </etc:cellImage>
  <etc:cellImage>
    <xdr:pic>
      <xdr:nvPicPr>
        <xdr:cNvPr id="795" name="ID_F4C7AB9EC1F74E638B3DF926626CB531" descr="Picture"/>
        <xdr:cNvPicPr/>
      </xdr:nvPicPr>
      <xdr:blipFill>
        <a:blip r:embed="rId793" cstate="print"/>
        <a:stretch>
          <a:fillRect/>
        </a:stretch>
      </xdr:blipFill>
      <xdr:spPr>
        <a:xfrm>
          <a:off x="0" y="554081950"/>
          <a:ext cx="619125" cy="676275"/>
        </a:xfrm>
        <a:prstGeom prst="rect">
          <a:avLst/>
        </a:prstGeom>
      </xdr:spPr>
    </xdr:pic>
  </etc:cellImage>
  <etc:cellImage>
    <xdr:pic>
      <xdr:nvPicPr>
        <xdr:cNvPr id="796" name="ID_5009ADA165814EB4AECC72CCD4A8AE32" descr="Picture"/>
        <xdr:cNvPicPr/>
      </xdr:nvPicPr>
      <xdr:blipFill>
        <a:blip r:embed="rId794" cstate="print"/>
        <a:stretch>
          <a:fillRect/>
        </a:stretch>
      </xdr:blipFill>
      <xdr:spPr>
        <a:xfrm>
          <a:off x="0" y="554780450"/>
          <a:ext cx="619125" cy="676275"/>
        </a:xfrm>
        <a:prstGeom prst="rect">
          <a:avLst/>
        </a:prstGeom>
      </xdr:spPr>
    </xdr:pic>
  </etc:cellImage>
  <etc:cellImage>
    <xdr:pic>
      <xdr:nvPicPr>
        <xdr:cNvPr id="797" name="ID_6178244E096F4456912D30EE1527DDDE" descr="Picture"/>
        <xdr:cNvPicPr/>
      </xdr:nvPicPr>
      <xdr:blipFill>
        <a:blip r:embed="rId795" cstate="print"/>
        <a:stretch>
          <a:fillRect/>
        </a:stretch>
      </xdr:blipFill>
      <xdr:spPr>
        <a:xfrm>
          <a:off x="0" y="555478950"/>
          <a:ext cx="619125" cy="676275"/>
        </a:xfrm>
        <a:prstGeom prst="rect">
          <a:avLst/>
        </a:prstGeom>
      </xdr:spPr>
    </xdr:pic>
  </etc:cellImage>
  <etc:cellImage>
    <xdr:pic>
      <xdr:nvPicPr>
        <xdr:cNvPr id="798" name="ID_E65D2AD970324AE8BFAD3BA665767DEA" descr="Picture"/>
        <xdr:cNvPicPr/>
      </xdr:nvPicPr>
      <xdr:blipFill>
        <a:blip r:embed="rId796" cstate="print"/>
        <a:stretch>
          <a:fillRect/>
        </a:stretch>
      </xdr:blipFill>
      <xdr:spPr>
        <a:xfrm>
          <a:off x="0" y="556177450"/>
          <a:ext cx="619125" cy="676275"/>
        </a:xfrm>
        <a:prstGeom prst="rect">
          <a:avLst/>
        </a:prstGeom>
      </xdr:spPr>
    </xdr:pic>
  </etc:cellImage>
  <etc:cellImage>
    <xdr:pic>
      <xdr:nvPicPr>
        <xdr:cNvPr id="799" name="ID_BAE806728EB74450AA2B5D86858EB3CF" descr="Picture"/>
        <xdr:cNvPicPr/>
      </xdr:nvPicPr>
      <xdr:blipFill>
        <a:blip r:embed="rId797" cstate="print"/>
        <a:stretch>
          <a:fillRect/>
        </a:stretch>
      </xdr:blipFill>
      <xdr:spPr>
        <a:xfrm>
          <a:off x="0" y="556875950"/>
          <a:ext cx="619125" cy="676275"/>
        </a:xfrm>
        <a:prstGeom prst="rect">
          <a:avLst/>
        </a:prstGeom>
      </xdr:spPr>
    </xdr:pic>
  </etc:cellImage>
  <etc:cellImage>
    <xdr:pic>
      <xdr:nvPicPr>
        <xdr:cNvPr id="800" name="ID_3A1DAB5EAF4349BB8270B3B268183F72" descr="Picture"/>
        <xdr:cNvPicPr/>
      </xdr:nvPicPr>
      <xdr:blipFill>
        <a:blip r:embed="rId798" cstate="print"/>
        <a:stretch>
          <a:fillRect/>
        </a:stretch>
      </xdr:blipFill>
      <xdr:spPr>
        <a:xfrm>
          <a:off x="0" y="557574450"/>
          <a:ext cx="619125" cy="676275"/>
        </a:xfrm>
        <a:prstGeom prst="rect">
          <a:avLst/>
        </a:prstGeom>
      </xdr:spPr>
    </xdr:pic>
  </etc:cellImage>
  <etc:cellImage>
    <xdr:pic>
      <xdr:nvPicPr>
        <xdr:cNvPr id="801" name="ID_AE8F66719DF543C78ECDCF7CF36BC4A1" descr="Picture"/>
        <xdr:cNvPicPr/>
      </xdr:nvPicPr>
      <xdr:blipFill>
        <a:blip r:embed="rId799" cstate="print"/>
        <a:stretch>
          <a:fillRect/>
        </a:stretch>
      </xdr:blipFill>
      <xdr:spPr>
        <a:xfrm>
          <a:off x="0" y="558272950"/>
          <a:ext cx="619125" cy="676275"/>
        </a:xfrm>
        <a:prstGeom prst="rect">
          <a:avLst/>
        </a:prstGeom>
      </xdr:spPr>
    </xdr:pic>
  </etc:cellImage>
  <etc:cellImage>
    <xdr:pic>
      <xdr:nvPicPr>
        <xdr:cNvPr id="802" name="ID_A17B3AA9D42A48E3B4D2F997854EF01E" descr="Picture"/>
        <xdr:cNvPicPr/>
      </xdr:nvPicPr>
      <xdr:blipFill>
        <a:blip r:embed="rId800" cstate="print"/>
        <a:stretch>
          <a:fillRect/>
        </a:stretch>
      </xdr:blipFill>
      <xdr:spPr>
        <a:xfrm>
          <a:off x="0" y="558971450"/>
          <a:ext cx="619125" cy="676275"/>
        </a:xfrm>
        <a:prstGeom prst="rect">
          <a:avLst/>
        </a:prstGeom>
      </xdr:spPr>
    </xdr:pic>
  </etc:cellImage>
  <etc:cellImage>
    <xdr:pic>
      <xdr:nvPicPr>
        <xdr:cNvPr id="803" name="ID_AE44759B755E4F868F5C21789EE2CB23" descr="Picture"/>
        <xdr:cNvPicPr/>
      </xdr:nvPicPr>
      <xdr:blipFill>
        <a:blip r:embed="rId801" cstate="print"/>
        <a:stretch>
          <a:fillRect/>
        </a:stretch>
      </xdr:blipFill>
      <xdr:spPr>
        <a:xfrm>
          <a:off x="0" y="559669950"/>
          <a:ext cx="619125" cy="676275"/>
        </a:xfrm>
        <a:prstGeom prst="rect">
          <a:avLst/>
        </a:prstGeom>
      </xdr:spPr>
    </xdr:pic>
  </etc:cellImage>
  <etc:cellImage>
    <xdr:pic>
      <xdr:nvPicPr>
        <xdr:cNvPr id="804" name="ID_CECFD9ECA2A249829A487E7F449FF48F" descr="Picture"/>
        <xdr:cNvPicPr/>
      </xdr:nvPicPr>
      <xdr:blipFill>
        <a:blip r:embed="rId802" cstate="print"/>
        <a:stretch>
          <a:fillRect/>
        </a:stretch>
      </xdr:blipFill>
      <xdr:spPr>
        <a:xfrm>
          <a:off x="0" y="560368450"/>
          <a:ext cx="619125" cy="676275"/>
        </a:xfrm>
        <a:prstGeom prst="rect">
          <a:avLst/>
        </a:prstGeom>
      </xdr:spPr>
    </xdr:pic>
  </etc:cellImage>
  <etc:cellImage>
    <xdr:pic>
      <xdr:nvPicPr>
        <xdr:cNvPr id="805" name="ID_77DCE41D430C4FB6B6958D53FECDA758" descr="Picture"/>
        <xdr:cNvPicPr/>
      </xdr:nvPicPr>
      <xdr:blipFill>
        <a:blip r:embed="rId803" cstate="print"/>
        <a:stretch>
          <a:fillRect/>
        </a:stretch>
      </xdr:blipFill>
      <xdr:spPr>
        <a:xfrm>
          <a:off x="0" y="561066950"/>
          <a:ext cx="619125" cy="676275"/>
        </a:xfrm>
        <a:prstGeom prst="rect">
          <a:avLst/>
        </a:prstGeom>
      </xdr:spPr>
    </xdr:pic>
  </etc:cellImage>
  <etc:cellImage>
    <xdr:pic>
      <xdr:nvPicPr>
        <xdr:cNvPr id="806" name="ID_C9BDD0C2E21C45D6A034030A9E514B63" descr="Picture"/>
        <xdr:cNvPicPr/>
      </xdr:nvPicPr>
      <xdr:blipFill>
        <a:blip r:embed="rId804" cstate="print"/>
        <a:stretch>
          <a:fillRect/>
        </a:stretch>
      </xdr:blipFill>
      <xdr:spPr>
        <a:xfrm>
          <a:off x="0" y="561765450"/>
          <a:ext cx="619125" cy="676275"/>
        </a:xfrm>
        <a:prstGeom prst="rect">
          <a:avLst/>
        </a:prstGeom>
      </xdr:spPr>
    </xdr:pic>
  </etc:cellImage>
  <etc:cellImage>
    <xdr:pic>
      <xdr:nvPicPr>
        <xdr:cNvPr id="807" name="ID_258E6936E7ED4B5EB8B6F660ADAF7E50" descr="Picture"/>
        <xdr:cNvPicPr/>
      </xdr:nvPicPr>
      <xdr:blipFill>
        <a:blip r:embed="rId805" cstate="print"/>
        <a:stretch>
          <a:fillRect/>
        </a:stretch>
      </xdr:blipFill>
      <xdr:spPr>
        <a:xfrm>
          <a:off x="0" y="562463950"/>
          <a:ext cx="619125" cy="676275"/>
        </a:xfrm>
        <a:prstGeom prst="rect">
          <a:avLst/>
        </a:prstGeom>
      </xdr:spPr>
    </xdr:pic>
  </etc:cellImage>
  <etc:cellImage>
    <xdr:pic>
      <xdr:nvPicPr>
        <xdr:cNvPr id="808" name="ID_E7854E63A01B422DAB541F81BF58A7D3" descr="Picture"/>
        <xdr:cNvPicPr/>
      </xdr:nvPicPr>
      <xdr:blipFill>
        <a:blip r:embed="rId806" cstate="print"/>
        <a:stretch>
          <a:fillRect/>
        </a:stretch>
      </xdr:blipFill>
      <xdr:spPr>
        <a:xfrm>
          <a:off x="0" y="563162450"/>
          <a:ext cx="619125" cy="676275"/>
        </a:xfrm>
        <a:prstGeom prst="rect">
          <a:avLst/>
        </a:prstGeom>
      </xdr:spPr>
    </xdr:pic>
  </etc:cellImage>
  <etc:cellImage>
    <xdr:pic>
      <xdr:nvPicPr>
        <xdr:cNvPr id="809" name="ID_CF622405EC0B4C68BB67A00D4E91F35A" descr="Picture"/>
        <xdr:cNvPicPr/>
      </xdr:nvPicPr>
      <xdr:blipFill>
        <a:blip r:embed="rId807" cstate="print"/>
        <a:stretch>
          <a:fillRect/>
        </a:stretch>
      </xdr:blipFill>
      <xdr:spPr>
        <a:xfrm>
          <a:off x="0" y="563860950"/>
          <a:ext cx="619125" cy="676275"/>
        </a:xfrm>
        <a:prstGeom prst="rect">
          <a:avLst/>
        </a:prstGeom>
      </xdr:spPr>
    </xdr:pic>
  </etc:cellImage>
  <etc:cellImage>
    <xdr:pic>
      <xdr:nvPicPr>
        <xdr:cNvPr id="810" name="ID_03A3B6AAFC6244A1BCD0E4768E750011" descr="Picture"/>
        <xdr:cNvPicPr/>
      </xdr:nvPicPr>
      <xdr:blipFill>
        <a:blip r:embed="rId808" cstate="print"/>
        <a:stretch>
          <a:fillRect/>
        </a:stretch>
      </xdr:blipFill>
      <xdr:spPr>
        <a:xfrm>
          <a:off x="0" y="564559450"/>
          <a:ext cx="619125" cy="676275"/>
        </a:xfrm>
        <a:prstGeom prst="rect">
          <a:avLst/>
        </a:prstGeom>
      </xdr:spPr>
    </xdr:pic>
  </etc:cellImage>
  <etc:cellImage>
    <xdr:pic>
      <xdr:nvPicPr>
        <xdr:cNvPr id="811" name="ID_713DE6C2E9EF43B59F41A17B99774E3A" descr="Picture"/>
        <xdr:cNvPicPr/>
      </xdr:nvPicPr>
      <xdr:blipFill>
        <a:blip r:embed="rId809" cstate="print"/>
        <a:stretch>
          <a:fillRect/>
        </a:stretch>
      </xdr:blipFill>
      <xdr:spPr>
        <a:xfrm>
          <a:off x="0" y="565257950"/>
          <a:ext cx="619125" cy="676275"/>
        </a:xfrm>
        <a:prstGeom prst="rect">
          <a:avLst/>
        </a:prstGeom>
      </xdr:spPr>
    </xdr:pic>
  </etc:cellImage>
  <etc:cellImage>
    <xdr:pic>
      <xdr:nvPicPr>
        <xdr:cNvPr id="812" name="ID_4D67B7B1BF124C1683E7002A552803E7" descr="Picture"/>
        <xdr:cNvPicPr/>
      </xdr:nvPicPr>
      <xdr:blipFill>
        <a:blip r:embed="rId810" cstate="print"/>
        <a:stretch>
          <a:fillRect/>
        </a:stretch>
      </xdr:blipFill>
      <xdr:spPr>
        <a:xfrm>
          <a:off x="0" y="565956450"/>
          <a:ext cx="619125" cy="676275"/>
        </a:xfrm>
        <a:prstGeom prst="rect">
          <a:avLst/>
        </a:prstGeom>
      </xdr:spPr>
    </xdr:pic>
  </etc:cellImage>
  <etc:cellImage>
    <xdr:pic>
      <xdr:nvPicPr>
        <xdr:cNvPr id="813" name="ID_AE9BE263774F4304849D09D87D26D777" descr="Picture"/>
        <xdr:cNvPicPr/>
      </xdr:nvPicPr>
      <xdr:blipFill>
        <a:blip r:embed="rId811" cstate="print"/>
        <a:stretch>
          <a:fillRect/>
        </a:stretch>
      </xdr:blipFill>
      <xdr:spPr>
        <a:xfrm>
          <a:off x="0" y="566654950"/>
          <a:ext cx="619125" cy="676275"/>
        </a:xfrm>
        <a:prstGeom prst="rect">
          <a:avLst/>
        </a:prstGeom>
      </xdr:spPr>
    </xdr:pic>
  </etc:cellImage>
  <etc:cellImage>
    <xdr:pic>
      <xdr:nvPicPr>
        <xdr:cNvPr id="814" name="ID_D316621E68C84F4EB71ACEA210DD27C0" descr="Picture"/>
        <xdr:cNvPicPr/>
      </xdr:nvPicPr>
      <xdr:blipFill>
        <a:blip r:embed="rId812" cstate="print"/>
        <a:stretch>
          <a:fillRect/>
        </a:stretch>
      </xdr:blipFill>
      <xdr:spPr>
        <a:xfrm>
          <a:off x="0" y="567353450"/>
          <a:ext cx="619125" cy="676275"/>
        </a:xfrm>
        <a:prstGeom prst="rect">
          <a:avLst/>
        </a:prstGeom>
      </xdr:spPr>
    </xdr:pic>
  </etc:cellImage>
  <etc:cellImage>
    <xdr:pic>
      <xdr:nvPicPr>
        <xdr:cNvPr id="815" name="ID_0FAB7F46BC874F4A8FEC86ADE76355EE" descr="Picture"/>
        <xdr:cNvPicPr/>
      </xdr:nvPicPr>
      <xdr:blipFill>
        <a:blip r:embed="rId813" cstate="print"/>
        <a:stretch>
          <a:fillRect/>
        </a:stretch>
      </xdr:blipFill>
      <xdr:spPr>
        <a:xfrm>
          <a:off x="0" y="568051950"/>
          <a:ext cx="619125" cy="676275"/>
        </a:xfrm>
        <a:prstGeom prst="rect">
          <a:avLst/>
        </a:prstGeom>
      </xdr:spPr>
    </xdr:pic>
  </etc:cellImage>
  <etc:cellImage>
    <xdr:pic>
      <xdr:nvPicPr>
        <xdr:cNvPr id="816" name="ID_C7BA7F4986474C7883F39B65763FBB16" descr="Picture"/>
        <xdr:cNvPicPr/>
      </xdr:nvPicPr>
      <xdr:blipFill>
        <a:blip r:embed="rId814" cstate="print"/>
        <a:stretch>
          <a:fillRect/>
        </a:stretch>
      </xdr:blipFill>
      <xdr:spPr>
        <a:xfrm>
          <a:off x="0" y="568750450"/>
          <a:ext cx="619125" cy="676275"/>
        </a:xfrm>
        <a:prstGeom prst="rect">
          <a:avLst/>
        </a:prstGeom>
      </xdr:spPr>
    </xdr:pic>
  </etc:cellImage>
  <etc:cellImage>
    <xdr:pic>
      <xdr:nvPicPr>
        <xdr:cNvPr id="817" name="ID_33730B978D5249CEA2F5084EDD60EDE2" descr="Picture"/>
        <xdr:cNvPicPr/>
      </xdr:nvPicPr>
      <xdr:blipFill>
        <a:blip r:embed="rId815" cstate="print"/>
        <a:stretch>
          <a:fillRect/>
        </a:stretch>
      </xdr:blipFill>
      <xdr:spPr>
        <a:xfrm>
          <a:off x="0" y="569448950"/>
          <a:ext cx="619125" cy="676275"/>
        </a:xfrm>
        <a:prstGeom prst="rect">
          <a:avLst/>
        </a:prstGeom>
      </xdr:spPr>
    </xdr:pic>
  </etc:cellImage>
  <etc:cellImage>
    <xdr:pic>
      <xdr:nvPicPr>
        <xdr:cNvPr id="818" name="ID_D154EDBA3D9E4BB98F1DDF5F49037B24" descr="Picture"/>
        <xdr:cNvPicPr/>
      </xdr:nvPicPr>
      <xdr:blipFill>
        <a:blip r:embed="rId816" cstate="print"/>
        <a:stretch>
          <a:fillRect/>
        </a:stretch>
      </xdr:blipFill>
      <xdr:spPr>
        <a:xfrm>
          <a:off x="0" y="570147450"/>
          <a:ext cx="619125" cy="676275"/>
        </a:xfrm>
        <a:prstGeom prst="rect">
          <a:avLst/>
        </a:prstGeom>
      </xdr:spPr>
    </xdr:pic>
  </etc:cellImage>
  <etc:cellImage>
    <xdr:pic>
      <xdr:nvPicPr>
        <xdr:cNvPr id="819" name="ID_4A50EEBA070D4ED6925CC1603CBEFE25" descr="Picture"/>
        <xdr:cNvPicPr/>
      </xdr:nvPicPr>
      <xdr:blipFill>
        <a:blip r:embed="rId817" cstate="print"/>
        <a:stretch>
          <a:fillRect/>
        </a:stretch>
      </xdr:blipFill>
      <xdr:spPr>
        <a:xfrm>
          <a:off x="0" y="570845950"/>
          <a:ext cx="619125" cy="676275"/>
        </a:xfrm>
        <a:prstGeom prst="rect">
          <a:avLst/>
        </a:prstGeom>
      </xdr:spPr>
    </xdr:pic>
  </etc:cellImage>
  <etc:cellImage>
    <xdr:pic>
      <xdr:nvPicPr>
        <xdr:cNvPr id="820" name="ID_B6BF661A1A14460ABCEF1F8E5FB4A925" descr="Picture"/>
        <xdr:cNvPicPr/>
      </xdr:nvPicPr>
      <xdr:blipFill>
        <a:blip r:embed="rId818" cstate="print"/>
        <a:stretch>
          <a:fillRect/>
        </a:stretch>
      </xdr:blipFill>
      <xdr:spPr>
        <a:xfrm>
          <a:off x="0" y="571544450"/>
          <a:ext cx="619125" cy="676275"/>
        </a:xfrm>
        <a:prstGeom prst="rect">
          <a:avLst/>
        </a:prstGeom>
      </xdr:spPr>
    </xdr:pic>
  </etc:cellImage>
  <etc:cellImage>
    <xdr:pic>
      <xdr:nvPicPr>
        <xdr:cNvPr id="821" name="ID_0C314C04CAA246DDA00A808447983D22" descr="Picture"/>
        <xdr:cNvPicPr/>
      </xdr:nvPicPr>
      <xdr:blipFill>
        <a:blip r:embed="rId819" cstate="print"/>
        <a:stretch>
          <a:fillRect/>
        </a:stretch>
      </xdr:blipFill>
      <xdr:spPr>
        <a:xfrm>
          <a:off x="0" y="572242950"/>
          <a:ext cx="619125" cy="676275"/>
        </a:xfrm>
        <a:prstGeom prst="rect">
          <a:avLst/>
        </a:prstGeom>
      </xdr:spPr>
    </xdr:pic>
  </etc:cellImage>
  <etc:cellImage>
    <xdr:pic>
      <xdr:nvPicPr>
        <xdr:cNvPr id="822" name="ID_81A1062977A3455B94D79F3F86D02D9D" descr="Picture"/>
        <xdr:cNvPicPr/>
      </xdr:nvPicPr>
      <xdr:blipFill>
        <a:blip r:embed="rId820" cstate="print"/>
        <a:stretch>
          <a:fillRect/>
        </a:stretch>
      </xdr:blipFill>
      <xdr:spPr>
        <a:xfrm>
          <a:off x="0" y="572941450"/>
          <a:ext cx="619125" cy="676275"/>
        </a:xfrm>
        <a:prstGeom prst="rect">
          <a:avLst/>
        </a:prstGeom>
      </xdr:spPr>
    </xdr:pic>
  </etc:cellImage>
  <etc:cellImage>
    <xdr:pic>
      <xdr:nvPicPr>
        <xdr:cNvPr id="823" name="ID_12CDBF662EF6474B981DEECB045E3FDB" descr="Picture"/>
        <xdr:cNvPicPr/>
      </xdr:nvPicPr>
      <xdr:blipFill>
        <a:blip r:embed="rId821" cstate="print"/>
        <a:stretch>
          <a:fillRect/>
        </a:stretch>
      </xdr:blipFill>
      <xdr:spPr>
        <a:xfrm>
          <a:off x="0" y="573639950"/>
          <a:ext cx="619125" cy="676275"/>
        </a:xfrm>
        <a:prstGeom prst="rect">
          <a:avLst/>
        </a:prstGeom>
      </xdr:spPr>
    </xdr:pic>
  </etc:cellImage>
  <etc:cellImage>
    <xdr:pic>
      <xdr:nvPicPr>
        <xdr:cNvPr id="824" name="ID_3359AFF4F89A4805AA93C36211C1BE17" descr="Picture"/>
        <xdr:cNvPicPr/>
      </xdr:nvPicPr>
      <xdr:blipFill>
        <a:blip r:embed="rId822" cstate="print"/>
        <a:stretch>
          <a:fillRect/>
        </a:stretch>
      </xdr:blipFill>
      <xdr:spPr>
        <a:xfrm>
          <a:off x="0" y="574338450"/>
          <a:ext cx="619125" cy="676275"/>
        </a:xfrm>
        <a:prstGeom prst="rect">
          <a:avLst/>
        </a:prstGeom>
      </xdr:spPr>
    </xdr:pic>
  </etc:cellImage>
  <etc:cellImage>
    <xdr:pic>
      <xdr:nvPicPr>
        <xdr:cNvPr id="825" name="ID_34A9CAA9AF454D5D91CC738236B76060" descr="Picture"/>
        <xdr:cNvPicPr/>
      </xdr:nvPicPr>
      <xdr:blipFill>
        <a:blip r:embed="rId823" cstate="print"/>
        <a:stretch>
          <a:fillRect/>
        </a:stretch>
      </xdr:blipFill>
      <xdr:spPr>
        <a:xfrm>
          <a:off x="0" y="575036950"/>
          <a:ext cx="619125" cy="676275"/>
        </a:xfrm>
        <a:prstGeom prst="rect">
          <a:avLst/>
        </a:prstGeom>
      </xdr:spPr>
    </xdr:pic>
  </etc:cellImage>
  <etc:cellImage>
    <xdr:pic>
      <xdr:nvPicPr>
        <xdr:cNvPr id="826" name="ID_BD443422257D45E795199F1D560BA281" descr="Picture"/>
        <xdr:cNvPicPr/>
      </xdr:nvPicPr>
      <xdr:blipFill>
        <a:blip r:embed="rId824" cstate="print"/>
        <a:stretch>
          <a:fillRect/>
        </a:stretch>
      </xdr:blipFill>
      <xdr:spPr>
        <a:xfrm>
          <a:off x="0" y="575735450"/>
          <a:ext cx="619125" cy="676275"/>
        </a:xfrm>
        <a:prstGeom prst="rect">
          <a:avLst/>
        </a:prstGeom>
      </xdr:spPr>
    </xdr:pic>
  </etc:cellImage>
  <etc:cellImage>
    <xdr:pic>
      <xdr:nvPicPr>
        <xdr:cNvPr id="827" name="ID_F59DC7D2F1DD4FC0A2085F0ADB939EB7" descr="Picture"/>
        <xdr:cNvPicPr/>
      </xdr:nvPicPr>
      <xdr:blipFill>
        <a:blip r:embed="rId825" cstate="print"/>
        <a:stretch>
          <a:fillRect/>
        </a:stretch>
      </xdr:blipFill>
      <xdr:spPr>
        <a:xfrm>
          <a:off x="0" y="576433950"/>
          <a:ext cx="619125" cy="676275"/>
        </a:xfrm>
        <a:prstGeom prst="rect">
          <a:avLst/>
        </a:prstGeom>
      </xdr:spPr>
    </xdr:pic>
  </etc:cellImage>
  <etc:cellImage>
    <xdr:pic>
      <xdr:nvPicPr>
        <xdr:cNvPr id="828" name="ID_543D421A918C4DF6903F508D658708F3" descr="Picture"/>
        <xdr:cNvPicPr/>
      </xdr:nvPicPr>
      <xdr:blipFill>
        <a:blip r:embed="rId826" cstate="print"/>
        <a:stretch>
          <a:fillRect/>
        </a:stretch>
      </xdr:blipFill>
      <xdr:spPr>
        <a:xfrm>
          <a:off x="0" y="577132450"/>
          <a:ext cx="619125" cy="676275"/>
        </a:xfrm>
        <a:prstGeom prst="rect">
          <a:avLst/>
        </a:prstGeom>
      </xdr:spPr>
    </xdr:pic>
  </etc:cellImage>
  <etc:cellImage>
    <xdr:pic>
      <xdr:nvPicPr>
        <xdr:cNvPr id="829" name="ID_2C865F2A865343568FBA8CF86589868A" descr="Picture"/>
        <xdr:cNvPicPr/>
      </xdr:nvPicPr>
      <xdr:blipFill>
        <a:blip r:embed="rId827" cstate="print"/>
        <a:stretch>
          <a:fillRect/>
        </a:stretch>
      </xdr:blipFill>
      <xdr:spPr>
        <a:xfrm>
          <a:off x="0" y="577830950"/>
          <a:ext cx="619125" cy="676275"/>
        </a:xfrm>
        <a:prstGeom prst="rect">
          <a:avLst/>
        </a:prstGeom>
      </xdr:spPr>
    </xdr:pic>
  </etc:cellImage>
  <etc:cellImage>
    <xdr:pic>
      <xdr:nvPicPr>
        <xdr:cNvPr id="830" name="ID_B8360D74717E403F8E40FEB9D127AEEF" descr="Picture"/>
        <xdr:cNvPicPr/>
      </xdr:nvPicPr>
      <xdr:blipFill>
        <a:blip r:embed="rId828" cstate="print"/>
        <a:stretch>
          <a:fillRect/>
        </a:stretch>
      </xdr:blipFill>
      <xdr:spPr>
        <a:xfrm>
          <a:off x="0" y="578529450"/>
          <a:ext cx="619125" cy="676275"/>
        </a:xfrm>
        <a:prstGeom prst="rect">
          <a:avLst/>
        </a:prstGeom>
      </xdr:spPr>
    </xdr:pic>
  </etc:cellImage>
  <etc:cellImage>
    <xdr:pic>
      <xdr:nvPicPr>
        <xdr:cNvPr id="831" name="ID_4ECA5A9524CD461CAF214E58B6ED7ACD" descr="Picture"/>
        <xdr:cNvPicPr/>
      </xdr:nvPicPr>
      <xdr:blipFill>
        <a:blip r:embed="rId829" cstate="print"/>
        <a:stretch>
          <a:fillRect/>
        </a:stretch>
      </xdr:blipFill>
      <xdr:spPr>
        <a:xfrm>
          <a:off x="0" y="579227950"/>
          <a:ext cx="619125" cy="676275"/>
        </a:xfrm>
        <a:prstGeom prst="rect">
          <a:avLst/>
        </a:prstGeom>
      </xdr:spPr>
    </xdr:pic>
  </etc:cellImage>
  <etc:cellImage>
    <xdr:pic>
      <xdr:nvPicPr>
        <xdr:cNvPr id="832" name="ID_BC42174D59CB4F62A2536F1B6890166B" descr="Picture"/>
        <xdr:cNvPicPr/>
      </xdr:nvPicPr>
      <xdr:blipFill>
        <a:blip r:embed="rId830" cstate="print"/>
        <a:stretch>
          <a:fillRect/>
        </a:stretch>
      </xdr:blipFill>
      <xdr:spPr>
        <a:xfrm>
          <a:off x="0" y="579926450"/>
          <a:ext cx="619125" cy="676275"/>
        </a:xfrm>
        <a:prstGeom prst="rect">
          <a:avLst/>
        </a:prstGeom>
      </xdr:spPr>
    </xdr:pic>
  </etc:cellImage>
  <etc:cellImage>
    <xdr:pic>
      <xdr:nvPicPr>
        <xdr:cNvPr id="833" name="ID_0E5F7550F641452A981A5E824D8D44D0" descr="Picture"/>
        <xdr:cNvPicPr/>
      </xdr:nvPicPr>
      <xdr:blipFill>
        <a:blip r:embed="rId831" cstate="print"/>
        <a:stretch>
          <a:fillRect/>
        </a:stretch>
      </xdr:blipFill>
      <xdr:spPr>
        <a:xfrm>
          <a:off x="0" y="580624950"/>
          <a:ext cx="619125" cy="676275"/>
        </a:xfrm>
        <a:prstGeom prst="rect">
          <a:avLst/>
        </a:prstGeom>
      </xdr:spPr>
    </xdr:pic>
  </etc:cellImage>
  <etc:cellImage>
    <xdr:pic>
      <xdr:nvPicPr>
        <xdr:cNvPr id="834" name="ID_F47352DA939041048ACC516102CD5BA4" descr="Picture"/>
        <xdr:cNvPicPr/>
      </xdr:nvPicPr>
      <xdr:blipFill>
        <a:blip r:embed="rId832" cstate="print"/>
        <a:stretch>
          <a:fillRect/>
        </a:stretch>
      </xdr:blipFill>
      <xdr:spPr>
        <a:xfrm>
          <a:off x="0" y="581323450"/>
          <a:ext cx="619125" cy="676275"/>
        </a:xfrm>
        <a:prstGeom prst="rect">
          <a:avLst/>
        </a:prstGeom>
      </xdr:spPr>
    </xdr:pic>
  </etc:cellImage>
  <etc:cellImage>
    <xdr:pic>
      <xdr:nvPicPr>
        <xdr:cNvPr id="835" name="ID_E33641AD87DA41CABEB944265C05D653" descr="Picture"/>
        <xdr:cNvPicPr/>
      </xdr:nvPicPr>
      <xdr:blipFill>
        <a:blip r:embed="rId833" cstate="print"/>
        <a:stretch>
          <a:fillRect/>
        </a:stretch>
      </xdr:blipFill>
      <xdr:spPr>
        <a:xfrm>
          <a:off x="0" y="582021950"/>
          <a:ext cx="619125" cy="676275"/>
        </a:xfrm>
        <a:prstGeom prst="rect">
          <a:avLst/>
        </a:prstGeom>
      </xdr:spPr>
    </xdr:pic>
  </etc:cellImage>
  <etc:cellImage>
    <xdr:pic>
      <xdr:nvPicPr>
        <xdr:cNvPr id="836" name="ID_E6EECD2E6E6D46599BFACD8A41702706" descr="Picture"/>
        <xdr:cNvPicPr/>
      </xdr:nvPicPr>
      <xdr:blipFill>
        <a:blip r:embed="rId834" cstate="print"/>
        <a:stretch>
          <a:fillRect/>
        </a:stretch>
      </xdr:blipFill>
      <xdr:spPr>
        <a:xfrm>
          <a:off x="0" y="582720450"/>
          <a:ext cx="619125" cy="676275"/>
        </a:xfrm>
        <a:prstGeom prst="rect">
          <a:avLst/>
        </a:prstGeom>
      </xdr:spPr>
    </xdr:pic>
  </etc:cellImage>
  <etc:cellImage>
    <xdr:pic>
      <xdr:nvPicPr>
        <xdr:cNvPr id="837" name="ID_67FFC8275D8E48DD87E064A08425CC56" descr="Picture"/>
        <xdr:cNvPicPr/>
      </xdr:nvPicPr>
      <xdr:blipFill>
        <a:blip r:embed="rId835" cstate="print"/>
        <a:stretch>
          <a:fillRect/>
        </a:stretch>
      </xdr:blipFill>
      <xdr:spPr>
        <a:xfrm>
          <a:off x="0" y="583418950"/>
          <a:ext cx="619125" cy="676275"/>
        </a:xfrm>
        <a:prstGeom prst="rect">
          <a:avLst/>
        </a:prstGeom>
      </xdr:spPr>
    </xdr:pic>
  </etc:cellImage>
  <etc:cellImage>
    <xdr:pic>
      <xdr:nvPicPr>
        <xdr:cNvPr id="838" name="ID_D960F5F0BA0A456680886A646A7CF1AB" descr="Picture"/>
        <xdr:cNvPicPr/>
      </xdr:nvPicPr>
      <xdr:blipFill>
        <a:blip r:embed="rId836" cstate="print"/>
        <a:stretch>
          <a:fillRect/>
        </a:stretch>
      </xdr:blipFill>
      <xdr:spPr>
        <a:xfrm>
          <a:off x="0" y="584117450"/>
          <a:ext cx="619125" cy="676275"/>
        </a:xfrm>
        <a:prstGeom prst="rect">
          <a:avLst/>
        </a:prstGeom>
      </xdr:spPr>
    </xdr:pic>
  </etc:cellImage>
  <etc:cellImage>
    <xdr:pic>
      <xdr:nvPicPr>
        <xdr:cNvPr id="839" name="ID_B282B7CB0D834208BA1BDEF7E0942BB0" descr="Picture"/>
        <xdr:cNvPicPr/>
      </xdr:nvPicPr>
      <xdr:blipFill>
        <a:blip r:embed="rId837" cstate="print"/>
        <a:stretch>
          <a:fillRect/>
        </a:stretch>
      </xdr:blipFill>
      <xdr:spPr>
        <a:xfrm>
          <a:off x="0" y="584815950"/>
          <a:ext cx="619125" cy="676275"/>
        </a:xfrm>
        <a:prstGeom prst="rect">
          <a:avLst/>
        </a:prstGeom>
      </xdr:spPr>
    </xdr:pic>
  </etc:cellImage>
  <etc:cellImage>
    <xdr:pic>
      <xdr:nvPicPr>
        <xdr:cNvPr id="840" name="ID_C96D935EFAB047B0AE24D379AF5DA3B1" descr="Picture"/>
        <xdr:cNvPicPr/>
      </xdr:nvPicPr>
      <xdr:blipFill>
        <a:blip r:embed="rId838" cstate="print"/>
        <a:stretch>
          <a:fillRect/>
        </a:stretch>
      </xdr:blipFill>
      <xdr:spPr>
        <a:xfrm>
          <a:off x="0" y="585514450"/>
          <a:ext cx="619125" cy="676275"/>
        </a:xfrm>
        <a:prstGeom prst="rect">
          <a:avLst/>
        </a:prstGeom>
      </xdr:spPr>
    </xdr:pic>
  </etc:cellImage>
  <etc:cellImage>
    <xdr:pic>
      <xdr:nvPicPr>
        <xdr:cNvPr id="841" name="ID_4C8EFFC1AA6C4FAE95D19628EC6F5F76" descr="Picture"/>
        <xdr:cNvPicPr/>
      </xdr:nvPicPr>
      <xdr:blipFill>
        <a:blip r:embed="rId839" cstate="print"/>
        <a:stretch>
          <a:fillRect/>
        </a:stretch>
      </xdr:blipFill>
      <xdr:spPr>
        <a:xfrm>
          <a:off x="0" y="586212950"/>
          <a:ext cx="619125" cy="676275"/>
        </a:xfrm>
        <a:prstGeom prst="rect">
          <a:avLst/>
        </a:prstGeom>
      </xdr:spPr>
    </xdr:pic>
  </etc:cellImage>
  <etc:cellImage>
    <xdr:pic>
      <xdr:nvPicPr>
        <xdr:cNvPr id="842" name="ID_DF7E4DDF67E342CDBCF2EC363EDCC2DB" descr="Picture"/>
        <xdr:cNvPicPr/>
      </xdr:nvPicPr>
      <xdr:blipFill>
        <a:blip r:embed="rId840" cstate="print"/>
        <a:stretch>
          <a:fillRect/>
        </a:stretch>
      </xdr:blipFill>
      <xdr:spPr>
        <a:xfrm>
          <a:off x="0" y="586911450"/>
          <a:ext cx="619125" cy="676275"/>
        </a:xfrm>
        <a:prstGeom prst="rect">
          <a:avLst/>
        </a:prstGeom>
      </xdr:spPr>
    </xdr:pic>
  </etc:cellImage>
  <etc:cellImage>
    <xdr:pic>
      <xdr:nvPicPr>
        <xdr:cNvPr id="843" name="ID_EE18C0F22280459198228C440DFFD7FF" descr="Picture"/>
        <xdr:cNvPicPr/>
      </xdr:nvPicPr>
      <xdr:blipFill>
        <a:blip r:embed="rId841" cstate="print"/>
        <a:stretch>
          <a:fillRect/>
        </a:stretch>
      </xdr:blipFill>
      <xdr:spPr>
        <a:xfrm>
          <a:off x="0" y="587609950"/>
          <a:ext cx="619125" cy="676275"/>
        </a:xfrm>
        <a:prstGeom prst="rect">
          <a:avLst/>
        </a:prstGeom>
      </xdr:spPr>
    </xdr:pic>
  </etc:cellImage>
  <etc:cellImage>
    <xdr:pic>
      <xdr:nvPicPr>
        <xdr:cNvPr id="844" name="ID_AC71F6B79C90410E8DD76B29D6757412" descr="Picture"/>
        <xdr:cNvPicPr/>
      </xdr:nvPicPr>
      <xdr:blipFill>
        <a:blip r:embed="rId842" cstate="print"/>
        <a:stretch>
          <a:fillRect/>
        </a:stretch>
      </xdr:blipFill>
      <xdr:spPr>
        <a:xfrm>
          <a:off x="0" y="588308450"/>
          <a:ext cx="619125" cy="676275"/>
        </a:xfrm>
        <a:prstGeom prst="rect">
          <a:avLst/>
        </a:prstGeom>
      </xdr:spPr>
    </xdr:pic>
  </etc:cellImage>
  <etc:cellImage>
    <xdr:pic>
      <xdr:nvPicPr>
        <xdr:cNvPr id="845" name="ID_E5D01F08F3704A10A0F4756732C5AB16" descr="Picture"/>
        <xdr:cNvPicPr/>
      </xdr:nvPicPr>
      <xdr:blipFill>
        <a:blip r:embed="rId843" cstate="print"/>
        <a:stretch>
          <a:fillRect/>
        </a:stretch>
      </xdr:blipFill>
      <xdr:spPr>
        <a:xfrm>
          <a:off x="0" y="589006950"/>
          <a:ext cx="619125" cy="676275"/>
        </a:xfrm>
        <a:prstGeom prst="rect">
          <a:avLst/>
        </a:prstGeom>
      </xdr:spPr>
    </xdr:pic>
  </etc:cellImage>
  <etc:cellImage>
    <xdr:pic>
      <xdr:nvPicPr>
        <xdr:cNvPr id="846" name="ID_BBE47B34337540B79056B4E8FE0DA3B5" descr="Picture"/>
        <xdr:cNvPicPr/>
      </xdr:nvPicPr>
      <xdr:blipFill>
        <a:blip r:embed="rId844" cstate="print"/>
        <a:stretch>
          <a:fillRect/>
        </a:stretch>
      </xdr:blipFill>
      <xdr:spPr>
        <a:xfrm>
          <a:off x="0" y="589705450"/>
          <a:ext cx="619125" cy="676275"/>
        </a:xfrm>
        <a:prstGeom prst="rect">
          <a:avLst/>
        </a:prstGeom>
      </xdr:spPr>
    </xdr:pic>
  </etc:cellImage>
  <etc:cellImage>
    <xdr:pic>
      <xdr:nvPicPr>
        <xdr:cNvPr id="847" name="ID_5118BCC3D2304CB6943DE550CCF238D8" descr="Picture"/>
        <xdr:cNvPicPr/>
      </xdr:nvPicPr>
      <xdr:blipFill>
        <a:blip r:embed="rId845" cstate="print"/>
        <a:stretch>
          <a:fillRect/>
        </a:stretch>
      </xdr:blipFill>
      <xdr:spPr>
        <a:xfrm>
          <a:off x="0" y="590403950"/>
          <a:ext cx="619125" cy="676275"/>
        </a:xfrm>
        <a:prstGeom prst="rect">
          <a:avLst/>
        </a:prstGeom>
      </xdr:spPr>
    </xdr:pic>
  </etc:cellImage>
  <etc:cellImage>
    <xdr:pic>
      <xdr:nvPicPr>
        <xdr:cNvPr id="848" name="ID_CC6496A77A7940AA8DE2D8CC0006504F" descr="Picture"/>
        <xdr:cNvPicPr/>
      </xdr:nvPicPr>
      <xdr:blipFill>
        <a:blip r:embed="rId846" cstate="print"/>
        <a:stretch>
          <a:fillRect/>
        </a:stretch>
      </xdr:blipFill>
      <xdr:spPr>
        <a:xfrm>
          <a:off x="0" y="591102450"/>
          <a:ext cx="619125" cy="676275"/>
        </a:xfrm>
        <a:prstGeom prst="rect">
          <a:avLst/>
        </a:prstGeom>
      </xdr:spPr>
    </xdr:pic>
  </etc:cellImage>
  <etc:cellImage>
    <xdr:pic>
      <xdr:nvPicPr>
        <xdr:cNvPr id="849" name="ID_A24FDC2AC1564F369480B596474F4BE5" descr="Picture"/>
        <xdr:cNvPicPr/>
      </xdr:nvPicPr>
      <xdr:blipFill>
        <a:blip r:embed="rId847" cstate="print"/>
        <a:stretch>
          <a:fillRect/>
        </a:stretch>
      </xdr:blipFill>
      <xdr:spPr>
        <a:xfrm>
          <a:off x="0" y="591800950"/>
          <a:ext cx="619125" cy="676275"/>
        </a:xfrm>
        <a:prstGeom prst="rect">
          <a:avLst/>
        </a:prstGeom>
      </xdr:spPr>
    </xdr:pic>
  </etc:cellImage>
  <etc:cellImage>
    <xdr:pic>
      <xdr:nvPicPr>
        <xdr:cNvPr id="850" name="ID_C8C9DB244BE142D3A51A4EACB24B3E5D" descr="Picture"/>
        <xdr:cNvPicPr/>
      </xdr:nvPicPr>
      <xdr:blipFill>
        <a:blip r:embed="rId848" cstate="print"/>
        <a:stretch>
          <a:fillRect/>
        </a:stretch>
      </xdr:blipFill>
      <xdr:spPr>
        <a:xfrm>
          <a:off x="0" y="592499450"/>
          <a:ext cx="619125" cy="676275"/>
        </a:xfrm>
        <a:prstGeom prst="rect">
          <a:avLst/>
        </a:prstGeom>
      </xdr:spPr>
    </xdr:pic>
  </etc:cellImage>
  <etc:cellImage>
    <xdr:pic>
      <xdr:nvPicPr>
        <xdr:cNvPr id="851" name="ID_AE223A8C35924A649945389D4AB2FEEE" descr="Picture"/>
        <xdr:cNvPicPr/>
      </xdr:nvPicPr>
      <xdr:blipFill>
        <a:blip r:embed="rId849" cstate="print"/>
        <a:stretch>
          <a:fillRect/>
        </a:stretch>
      </xdr:blipFill>
      <xdr:spPr>
        <a:xfrm>
          <a:off x="0" y="593197950"/>
          <a:ext cx="619125" cy="676275"/>
        </a:xfrm>
        <a:prstGeom prst="rect">
          <a:avLst/>
        </a:prstGeom>
      </xdr:spPr>
    </xdr:pic>
  </etc:cellImage>
  <etc:cellImage>
    <xdr:pic>
      <xdr:nvPicPr>
        <xdr:cNvPr id="852" name="ID_69FA9EE6245749E1B6F278FD5EBBB1E2" descr="Picture"/>
        <xdr:cNvPicPr/>
      </xdr:nvPicPr>
      <xdr:blipFill>
        <a:blip r:embed="rId850" cstate="print"/>
        <a:stretch>
          <a:fillRect/>
        </a:stretch>
      </xdr:blipFill>
      <xdr:spPr>
        <a:xfrm>
          <a:off x="0" y="593896450"/>
          <a:ext cx="619125" cy="676275"/>
        </a:xfrm>
        <a:prstGeom prst="rect">
          <a:avLst/>
        </a:prstGeom>
      </xdr:spPr>
    </xdr:pic>
  </etc:cellImage>
  <etc:cellImage>
    <xdr:pic>
      <xdr:nvPicPr>
        <xdr:cNvPr id="853" name="ID_BF4F9CBC44AF4308A936363D534AF236" descr="Picture"/>
        <xdr:cNvPicPr/>
      </xdr:nvPicPr>
      <xdr:blipFill>
        <a:blip r:embed="rId851" cstate="print"/>
        <a:stretch>
          <a:fillRect/>
        </a:stretch>
      </xdr:blipFill>
      <xdr:spPr>
        <a:xfrm>
          <a:off x="0" y="594594950"/>
          <a:ext cx="619125" cy="676275"/>
        </a:xfrm>
        <a:prstGeom prst="rect">
          <a:avLst/>
        </a:prstGeom>
      </xdr:spPr>
    </xdr:pic>
  </etc:cellImage>
  <etc:cellImage>
    <xdr:pic>
      <xdr:nvPicPr>
        <xdr:cNvPr id="854" name="ID_304BBE96815E40F8AA1D2DE2B2A26076" descr="Picture"/>
        <xdr:cNvPicPr/>
      </xdr:nvPicPr>
      <xdr:blipFill>
        <a:blip r:embed="rId852" cstate="print"/>
        <a:stretch>
          <a:fillRect/>
        </a:stretch>
      </xdr:blipFill>
      <xdr:spPr>
        <a:xfrm>
          <a:off x="0" y="595293450"/>
          <a:ext cx="619125" cy="676275"/>
        </a:xfrm>
        <a:prstGeom prst="rect">
          <a:avLst/>
        </a:prstGeom>
      </xdr:spPr>
    </xdr:pic>
  </etc:cellImage>
  <etc:cellImage>
    <xdr:pic>
      <xdr:nvPicPr>
        <xdr:cNvPr id="855" name="ID_9FB15386BF3B42E4BCBCEA87E17959F0" descr="Picture"/>
        <xdr:cNvPicPr/>
      </xdr:nvPicPr>
      <xdr:blipFill>
        <a:blip r:embed="rId853" cstate="print"/>
        <a:stretch>
          <a:fillRect/>
        </a:stretch>
      </xdr:blipFill>
      <xdr:spPr>
        <a:xfrm>
          <a:off x="0" y="595991950"/>
          <a:ext cx="619125" cy="676275"/>
        </a:xfrm>
        <a:prstGeom prst="rect">
          <a:avLst/>
        </a:prstGeom>
      </xdr:spPr>
    </xdr:pic>
  </etc:cellImage>
  <etc:cellImage>
    <xdr:pic>
      <xdr:nvPicPr>
        <xdr:cNvPr id="856" name="ID_AE0372E8EA00493BBE331A352813CF5C" descr="Picture"/>
        <xdr:cNvPicPr/>
      </xdr:nvPicPr>
      <xdr:blipFill>
        <a:blip r:embed="rId854" cstate="print"/>
        <a:stretch>
          <a:fillRect/>
        </a:stretch>
      </xdr:blipFill>
      <xdr:spPr>
        <a:xfrm>
          <a:off x="0" y="596690450"/>
          <a:ext cx="619125" cy="676275"/>
        </a:xfrm>
        <a:prstGeom prst="rect">
          <a:avLst/>
        </a:prstGeom>
      </xdr:spPr>
    </xdr:pic>
  </etc:cellImage>
  <etc:cellImage>
    <xdr:pic>
      <xdr:nvPicPr>
        <xdr:cNvPr id="857" name="ID_A3767FD7D60A468186C3831E2FA6B960" descr="Picture"/>
        <xdr:cNvPicPr/>
      </xdr:nvPicPr>
      <xdr:blipFill>
        <a:blip r:embed="rId855" cstate="print"/>
        <a:stretch>
          <a:fillRect/>
        </a:stretch>
      </xdr:blipFill>
      <xdr:spPr>
        <a:xfrm>
          <a:off x="0" y="597388950"/>
          <a:ext cx="619125" cy="676275"/>
        </a:xfrm>
        <a:prstGeom prst="rect">
          <a:avLst/>
        </a:prstGeom>
      </xdr:spPr>
    </xdr:pic>
  </etc:cellImage>
  <etc:cellImage>
    <xdr:pic>
      <xdr:nvPicPr>
        <xdr:cNvPr id="858" name="ID_72106FC3041E41E18AC7DF159DCE0548" descr="Picture"/>
        <xdr:cNvPicPr/>
      </xdr:nvPicPr>
      <xdr:blipFill>
        <a:blip r:embed="rId856" cstate="print"/>
        <a:stretch>
          <a:fillRect/>
        </a:stretch>
      </xdr:blipFill>
      <xdr:spPr>
        <a:xfrm>
          <a:off x="0" y="598087450"/>
          <a:ext cx="619125" cy="676275"/>
        </a:xfrm>
        <a:prstGeom prst="rect">
          <a:avLst/>
        </a:prstGeom>
      </xdr:spPr>
    </xdr:pic>
  </etc:cellImage>
  <etc:cellImage>
    <xdr:pic>
      <xdr:nvPicPr>
        <xdr:cNvPr id="859" name="ID_7E6B4E29B0BA488C8C1E3ED45BB88CC0" descr="Picture"/>
        <xdr:cNvPicPr/>
      </xdr:nvPicPr>
      <xdr:blipFill>
        <a:blip r:embed="rId857" cstate="print"/>
        <a:stretch>
          <a:fillRect/>
        </a:stretch>
      </xdr:blipFill>
      <xdr:spPr>
        <a:xfrm>
          <a:off x="0" y="598785950"/>
          <a:ext cx="619125" cy="676275"/>
        </a:xfrm>
        <a:prstGeom prst="rect">
          <a:avLst/>
        </a:prstGeom>
      </xdr:spPr>
    </xdr:pic>
  </etc:cellImage>
  <etc:cellImage>
    <xdr:pic>
      <xdr:nvPicPr>
        <xdr:cNvPr id="860" name="ID_E694D56CD2534EFD842A83A1A27B2CA0" descr="Picture"/>
        <xdr:cNvPicPr/>
      </xdr:nvPicPr>
      <xdr:blipFill>
        <a:blip r:embed="rId858" cstate="print"/>
        <a:stretch>
          <a:fillRect/>
        </a:stretch>
      </xdr:blipFill>
      <xdr:spPr>
        <a:xfrm>
          <a:off x="0" y="599484450"/>
          <a:ext cx="619125" cy="676275"/>
        </a:xfrm>
        <a:prstGeom prst="rect">
          <a:avLst/>
        </a:prstGeom>
      </xdr:spPr>
    </xdr:pic>
  </etc:cellImage>
  <etc:cellImage>
    <xdr:pic>
      <xdr:nvPicPr>
        <xdr:cNvPr id="861" name="ID_A978556E79FF4B0DB72871FD05144B95" descr="Picture"/>
        <xdr:cNvPicPr/>
      </xdr:nvPicPr>
      <xdr:blipFill>
        <a:blip r:embed="rId859" cstate="print"/>
        <a:stretch>
          <a:fillRect/>
        </a:stretch>
      </xdr:blipFill>
      <xdr:spPr>
        <a:xfrm>
          <a:off x="0" y="600182950"/>
          <a:ext cx="619125" cy="676275"/>
        </a:xfrm>
        <a:prstGeom prst="rect">
          <a:avLst/>
        </a:prstGeom>
      </xdr:spPr>
    </xdr:pic>
  </etc:cellImage>
  <etc:cellImage>
    <xdr:pic>
      <xdr:nvPicPr>
        <xdr:cNvPr id="862" name="ID_12E4B87AC9A64DE8BAA50BA0BF9C08EF" descr="Picture"/>
        <xdr:cNvPicPr/>
      </xdr:nvPicPr>
      <xdr:blipFill>
        <a:blip r:embed="rId860" cstate="print"/>
        <a:stretch>
          <a:fillRect/>
        </a:stretch>
      </xdr:blipFill>
      <xdr:spPr>
        <a:xfrm>
          <a:off x="0" y="600881450"/>
          <a:ext cx="619125" cy="676275"/>
        </a:xfrm>
        <a:prstGeom prst="rect">
          <a:avLst/>
        </a:prstGeom>
      </xdr:spPr>
    </xdr:pic>
  </etc:cellImage>
  <etc:cellImage>
    <xdr:pic>
      <xdr:nvPicPr>
        <xdr:cNvPr id="863" name="ID_3369FB9E9E1D4816A987AE848F8A1E97" descr="Picture"/>
        <xdr:cNvPicPr/>
      </xdr:nvPicPr>
      <xdr:blipFill>
        <a:blip r:embed="rId861" cstate="print"/>
        <a:stretch>
          <a:fillRect/>
        </a:stretch>
      </xdr:blipFill>
      <xdr:spPr>
        <a:xfrm>
          <a:off x="0" y="601579950"/>
          <a:ext cx="619125" cy="676275"/>
        </a:xfrm>
        <a:prstGeom prst="rect">
          <a:avLst/>
        </a:prstGeom>
      </xdr:spPr>
    </xdr:pic>
  </etc:cellImage>
  <etc:cellImage>
    <xdr:pic>
      <xdr:nvPicPr>
        <xdr:cNvPr id="864" name="ID_8CC2304C525C4AFCA0F7D11813D83DB0" descr="Picture"/>
        <xdr:cNvPicPr/>
      </xdr:nvPicPr>
      <xdr:blipFill>
        <a:blip r:embed="rId862" cstate="print"/>
        <a:stretch>
          <a:fillRect/>
        </a:stretch>
      </xdr:blipFill>
      <xdr:spPr>
        <a:xfrm>
          <a:off x="0" y="602278450"/>
          <a:ext cx="619125" cy="676275"/>
        </a:xfrm>
        <a:prstGeom prst="rect">
          <a:avLst/>
        </a:prstGeom>
      </xdr:spPr>
    </xdr:pic>
  </etc:cellImage>
  <etc:cellImage>
    <xdr:pic>
      <xdr:nvPicPr>
        <xdr:cNvPr id="865" name="ID_7203E3FCF56E4EDB8D16AEF2C96659D8" descr="Picture"/>
        <xdr:cNvPicPr/>
      </xdr:nvPicPr>
      <xdr:blipFill>
        <a:blip r:embed="rId863" cstate="print"/>
        <a:stretch>
          <a:fillRect/>
        </a:stretch>
      </xdr:blipFill>
      <xdr:spPr>
        <a:xfrm>
          <a:off x="0" y="602976950"/>
          <a:ext cx="619125" cy="676275"/>
        </a:xfrm>
        <a:prstGeom prst="rect">
          <a:avLst/>
        </a:prstGeom>
      </xdr:spPr>
    </xdr:pic>
  </etc:cellImage>
  <etc:cellImage>
    <xdr:pic>
      <xdr:nvPicPr>
        <xdr:cNvPr id="866" name="ID_111D6A9E6A314F9B8476E13EEB2EEBCB" descr="Picture"/>
        <xdr:cNvPicPr/>
      </xdr:nvPicPr>
      <xdr:blipFill>
        <a:blip r:embed="rId864" cstate="print"/>
        <a:stretch>
          <a:fillRect/>
        </a:stretch>
      </xdr:blipFill>
      <xdr:spPr>
        <a:xfrm>
          <a:off x="0" y="603675450"/>
          <a:ext cx="619125" cy="676275"/>
        </a:xfrm>
        <a:prstGeom prst="rect">
          <a:avLst/>
        </a:prstGeom>
      </xdr:spPr>
    </xdr:pic>
  </etc:cellImage>
  <etc:cellImage>
    <xdr:pic>
      <xdr:nvPicPr>
        <xdr:cNvPr id="867" name="ID_C696F762AAB24F6FA9576484AB40E4F4" descr="Picture"/>
        <xdr:cNvPicPr/>
      </xdr:nvPicPr>
      <xdr:blipFill>
        <a:blip r:embed="rId865" cstate="print"/>
        <a:stretch>
          <a:fillRect/>
        </a:stretch>
      </xdr:blipFill>
      <xdr:spPr>
        <a:xfrm>
          <a:off x="0" y="604373950"/>
          <a:ext cx="619125" cy="676275"/>
        </a:xfrm>
        <a:prstGeom prst="rect">
          <a:avLst/>
        </a:prstGeom>
      </xdr:spPr>
    </xdr:pic>
  </etc:cellImage>
  <etc:cellImage>
    <xdr:pic>
      <xdr:nvPicPr>
        <xdr:cNvPr id="868" name="ID_13E538E9EA0A4E1693A88B6F3FC1A078" descr="Picture"/>
        <xdr:cNvPicPr/>
      </xdr:nvPicPr>
      <xdr:blipFill>
        <a:blip r:embed="rId866" cstate="print"/>
        <a:stretch>
          <a:fillRect/>
        </a:stretch>
      </xdr:blipFill>
      <xdr:spPr>
        <a:xfrm>
          <a:off x="0" y="605072450"/>
          <a:ext cx="619125" cy="676275"/>
        </a:xfrm>
        <a:prstGeom prst="rect">
          <a:avLst/>
        </a:prstGeom>
      </xdr:spPr>
    </xdr:pic>
  </etc:cellImage>
  <etc:cellImage>
    <xdr:pic>
      <xdr:nvPicPr>
        <xdr:cNvPr id="869" name="ID_6F9480F961A04DD0BEA4E2926DDB1591" descr="Picture"/>
        <xdr:cNvPicPr/>
      </xdr:nvPicPr>
      <xdr:blipFill>
        <a:blip r:embed="rId867" cstate="print"/>
        <a:stretch>
          <a:fillRect/>
        </a:stretch>
      </xdr:blipFill>
      <xdr:spPr>
        <a:xfrm>
          <a:off x="0" y="605770950"/>
          <a:ext cx="619125" cy="676275"/>
        </a:xfrm>
        <a:prstGeom prst="rect">
          <a:avLst/>
        </a:prstGeom>
      </xdr:spPr>
    </xdr:pic>
  </etc:cellImage>
  <etc:cellImage>
    <xdr:pic>
      <xdr:nvPicPr>
        <xdr:cNvPr id="870" name="ID_D8FCE201226E4228B3BEBAE94316A7B4" descr="Picture"/>
        <xdr:cNvPicPr/>
      </xdr:nvPicPr>
      <xdr:blipFill>
        <a:blip r:embed="rId868" cstate="print"/>
        <a:stretch>
          <a:fillRect/>
        </a:stretch>
      </xdr:blipFill>
      <xdr:spPr>
        <a:xfrm>
          <a:off x="0" y="606469450"/>
          <a:ext cx="619125" cy="676275"/>
        </a:xfrm>
        <a:prstGeom prst="rect">
          <a:avLst/>
        </a:prstGeom>
      </xdr:spPr>
    </xdr:pic>
  </etc:cellImage>
  <etc:cellImage>
    <xdr:pic>
      <xdr:nvPicPr>
        <xdr:cNvPr id="871" name="ID_0D6556756C9F413FA84F42A2C2D0E323" descr="Picture"/>
        <xdr:cNvPicPr/>
      </xdr:nvPicPr>
      <xdr:blipFill>
        <a:blip r:embed="rId869" cstate="print"/>
        <a:stretch>
          <a:fillRect/>
        </a:stretch>
      </xdr:blipFill>
      <xdr:spPr>
        <a:xfrm>
          <a:off x="0" y="607167950"/>
          <a:ext cx="619125" cy="676275"/>
        </a:xfrm>
        <a:prstGeom prst="rect">
          <a:avLst/>
        </a:prstGeom>
      </xdr:spPr>
    </xdr:pic>
  </etc:cellImage>
  <etc:cellImage>
    <xdr:pic>
      <xdr:nvPicPr>
        <xdr:cNvPr id="872" name="ID_B4EFD6E69F6344E385E6389242BE5C0D" descr="Picture"/>
        <xdr:cNvPicPr/>
      </xdr:nvPicPr>
      <xdr:blipFill>
        <a:blip r:embed="rId870" cstate="print"/>
        <a:stretch>
          <a:fillRect/>
        </a:stretch>
      </xdr:blipFill>
      <xdr:spPr>
        <a:xfrm>
          <a:off x="0" y="607866450"/>
          <a:ext cx="619125" cy="676275"/>
        </a:xfrm>
        <a:prstGeom prst="rect">
          <a:avLst/>
        </a:prstGeom>
      </xdr:spPr>
    </xdr:pic>
  </etc:cellImage>
  <etc:cellImage>
    <xdr:pic>
      <xdr:nvPicPr>
        <xdr:cNvPr id="873" name="ID_61CB0D5A65C046D3AA17F99B3CC1B960" descr="Picture"/>
        <xdr:cNvPicPr/>
      </xdr:nvPicPr>
      <xdr:blipFill>
        <a:blip r:embed="rId871" cstate="print"/>
        <a:stretch>
          <a:fillRect/>
        </a:stretch>
      </xdr:blipFill>
      <xdr:spPr>
        <a:xfrm>
          <a:off x="0" y="608564950"/>
          <a:ext cx="619125" cy="676275"/>
        </a:xfrm>
        <a:prstGeom prst="rect">
          <a:avLst/>
        </a:prstGeom>
      </xdr:spPr>
    </xdr:pic>
  </etc:cellImage>
  <etc:cellImage>
    <xdr:pic>
      <xdr:nvPicPr>
        <xdr:cNvPr id="874" name="ID_58CF63BE32CF44D681DA4159AD590215" descr="Picture"/>
        <xdr:cNvPicPr/>
      </xdr:nvPicPr>
      <xdr:blipFill>
        <a:blip r:embed="rId872" cstate="print"/>
        <a:stretch>
          <a:fillRect/>
        </a:stretch>
      </xdr:blipFill>
      <xdr:spPr>
        <a:xfrm>
          <a:off x="0" y="609263450"/>
          <a:ext cx="619125" cy="676275"/>
        </a:xfrm>
        <a:prstGeom prst="rect">
          <a:avLst/>
        </a:prstGeom>
      </xdr:spPr>
    </xdr:pic>
  </etc:cellImage>
  <etc:cellImage>
    <xdr:pic>
      <xdr:nvPicPr>
        <xdr:cNvPr id="875" name="ID_010005D5C44848F59923D3B5F6ABF5A5" descr="Picture"/>
        <xdr:cNvPicPr/>
      </xdr:nvPicPr>
      <xdr:blipFill>
        <a:blip r:embed="rId873" cstate="print"/>
        <a:stretch>
          <a:fillRect/>
        </a:stretch>
      </xdr:blipFill>
      <xdr:spPr>
        <a:xfrm>
          <a:off x="0" y="609961950"/>
          <a:ext cx="619125" cy="676275"/>
        </a:xfrm>
        <a:prstGeom prst="rect">
          <a:avLst/>
        </a:prstGeom>
      </xdr:spPr>
    </xdr:pic>
  </etc:cellImage>
  <etc:cellImage>
    <xdr:pic>
      <xdr:nvPicPr>
        <xdr:cNvPr id="876" name="ID_D255B448399C44E89729CC974EDA9CD1" descr="Picture"/>
        <xdr:cNvPicPr/>
      </xdr:nvPicPr>
      <xdr:blipFill>
        <a:blip r:embed="rId874" cstate="print"/>
        <a:stretch>
          <a:fillRect/>
        </a:stretch>
      </xdr:blipFill>
      <xdr:spPr>
        <a:xfrm>
          <a:off x="0" y="610660450"/>
          <a:ext cx="619125" cy="676275"/>
        </a:xfrm>
        <a:prstGeom prst="rect">
          <a:avLst/>
        </a:prstGeom>
      </xdr:spPr>
    </xdr:pic>
  </etc:cellImage>
  <etc:cellImage>
    <xdr:pic>
      <xdr:nvPicPr>
        <xdr:cNvPr id="877" name="ID_DB0E0E790E12491F8A433AE7B046176D" descr="Picture"/>
        <xdr:cNvPicPr/>
      </xdr:nvPicPr>
      <xdr:blipFill>
        <a:blip r:embed="rId875" cstate="print"/>
        <a:stretch>
          <a:fillRect/>
        </a:stretch>
      </xdr:blipFill>
      <xdr:spPr>
        <a:xfrm>
          <a:off x="0" y="611358950"/>
          <a:ext cx="619125" cy="676275"/>
        </a:xfrm>
        <a:prstGeom prst="rect">
          <a:avLst/>
        </a:prstGeom>
      </xdr:spPr>
    </xdr:pic>
  </etc:cellImage>
  <etc:cellImage>
    <xdr:pic>
      <xdr:nvPicPr>
        <xdr:cNvPr id="878" name="ID_5BEE8715CC7741C6A679EC1B4EA579D5" descr="Picture"/>
        <xdr:cNvPicPr/>
      </xdr:nvPicPr>
      <xdr:blipFill>
        <a:blip r:embed="rId876" cstate="print"/>
        <a:stretch>
          <a:fillRect/>
        </a:stretch>
      </xdr:blipFill>
      <xdr:spPr>
        <a:xfrm>
          <a:off x="0" y="612057450"/>
          <a:ext cx="619125" cy="676275"/>
        </a:xfrm>
        <a:prstGeom prst="rect">
          <a:avLst/>
        </a:prstGeom>
      </xdr:spPr>
    </xdr:pic>
  </etc:cellImage>
  <etc:cellImage>
    <xdr:pic>
      <xdr:nvPicPr>
        <xdr:cNvPr id="879" name="ID_EF1150B3531D4F2A8C450DA55DF91A8E" descr="Picture"/>
        <xdr:cNvPicPr/>
      </xdr:nvPicPr>
      <xdr:blipFill>
        <a:blip r:embed="rId877" cstate="print"/>
        <a:stretch>
          <a:fillRect/>
        </a:stretch>
      </xdr:blipFill>
      <xdr:spPr>
        <a:xfrm>
          <a:off x="0" y="612755950"/>
          <a:ext cx="619125" cy="676275"/>
        </a:xfrm>
        <a:prstGeom prst="rect">
          <a:avLst/>
        </a:prstGeom>
      </xdr:spPr>
    </xdr:pic>
  </etc:cellImage>
  <etc:cellImage>
    <xdr:pic>
      <xdr:nvPicPr>
        <xdr:cNvPr id="880" name="ID_E87F486D951442398DB04AD3CC102FD5" descr="Picture"/>
        <xdr:cNvPicPr/>
      </xdr:nvPicPr>
      <xdr:blipFill>
        <a:blip r:embed="rId878" cstate="print"/>
        <a:stretch>
          <a:fillRect/>
        </a:stretch>
      </xdr:blipFill>
      <xdr:spPr>
        <a:xfrm>
          <a:off x="0" y="613454450"/>
          <a:ext cx="619125" cy="67627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<sst xmlns="http://schemas.openxmlformats.org/spreadsheetml/2006/main" count="15841" uniqueCount="2187">
  <si>
    <t>参考图片</t>
  </si>
  <si>
    <t>车名</t>
  </si>
  <si>
    <t>价格</t>
  </si>
  <si>
    <t>上牌时间</t>
  </si>
  <si>
    <t>年检到期</t>
  </si>
  <si>
    <t>发动机</t>
  </si>
  <si>
    <t>表显里程</t>
  </si>
  <si>
    <t>保险到期</t>
  </si>
  <si>
    <t>车辆级别</t>
  </si>
  <si>
    <t>变速箱</t>
  </si>
  <si>
    <t>质保到期</t>
  </si>
  <si>
    <t>车身颜色</t>
  </si>
  <si>
    <t>排量</t>
  </si>
  <si>
    <t>过户次数</t>
  </si>
  <si>
    <t>驱动方式</t>
  </si>
  <si>
    <t>发布时间</t>
  </si>
  <si>
    <t>所在地</t>
  </si>
  <si>
    <t>亮点</t>
  </si>
  <si>
    <t>id</t>
  </si>
  <si>
    <t>传祺GS5 2014款 2.0L 自动两驱周年增值版</t>
  </si>
  <si>
    <t>￥3.90万</t>
  </si>
  <si>
    <t>2015年02月</t>
  </si>
  <si>
    <t>2023-2</t>
  </si>
  <si>
    <t xml:space="preserve">2.0L 147马力 L4 </t>
  </si>
  <si>
    <t>8.9万公里</t>
  </si>
  <si>
    <t>中型SUV</t>
  </si>
  <si>
    <t>自动</t>
  </si>
  <si>
    <t>-</t>
  </si>
  <si>
    <t>白色</t>
  </si>
  <si>
    <t>2L</t>
  </si>
  <si>
    <t>0次（以车辆登记证为准）</t>
  </si>
  <si>
    <t>前置前驱</t>
  </si>
  <si>
    <t>2023-01-07</t>
  </si>
  <si>
    <t>汕头</t>
  </si>
  <si>
    <t>['ISOFIX儿童座椅接口', '倒车影像', '定速巡航', '无钥匙启动系统', '无钥匙进入系统', '防紫外线玻璃', '后排出风口']</t>
  </si>
  <si>
    <t>./image/46541494.jpg</t>
  </si>
  <si>
    <t>传祺M8 2021款 大师系列 390T 尊贵版</t>
  </si>
  <si>
    <t>￥20.80万</t>
  </si>
  <si>
    <t>2021年05月</t>
  </si>
  <si>
    <t>2023-05</t>
  </si>
  <si>
    <t xml:space="preserve">2.0T 252马力 L4 </t>
  </si>
  <si>
    <t>3万公里</t>
  </si>
  <si>
    <t/>
  </si>
  <si>
    <t>2022-12-08</t>
  </si>
  <si>
    <t>金华</t>
  </si>
  <si>
    <t>['ISOFIX儿童座椅接口', '自动驻车', '电动后备厢', '感应后备厢', '无钥匙启动系统', '全液晶仪表盘', '蓝牙/车载电话', '车联网', '车内PM2.5过滤装置', '车载空气净化器', '后排独立空调', '后排出风口']</t>
  </si>
  <si>
    <t>./image/46322941.jpg</t>
  </si>
  <si>
    <t>传祺GS8 2017款  320T 两驱豪华版（七座）</t>
  </si>
  <si>
    <t>￥8.49万</t>
  </si>
  <si>
    <t>2017年08月</t>
  </si>
  <si>
    <t>2023-08</t>
  </si>
  <si>
    <t xml:space="preserve">2.0T 201马力 L4 </t>
  </si>
  <si>
    <t>5.9万公里</t>
  </si>
  <si>
    <t>蓝色</t>
  </si>
  <si>
    <t>2023-02-03</t>
  </si>
  <si>
    <t>武汉</t>
  </si>
  <si>
    <t>['ISOFIX儿童座椅接口', '自动驻车', '无钥匙启动系统', '蓝牙/车载电话', '后排独立空调', '后排出风口']</t>
  </si>
  <si>
    <t>./image/45197456.jpg</t>
  </si>
  <si>
    <t>传祺M8 2018款 320T 尊享版</t>
  </si>
  <si>
    <t>￥13.98万</t>
  </si>
  <si>
    <t>2019年01月</t>
  </si>
  <si>
    <t>2025-01</t>
  </si>
  <si>
    <t>6.76万公里</t>
  </si>
  <si>
    <t>2024-01</t>
  </si>
  <si>
    <t>1次（以车辆登记证为准）</t>
  </si>
  <si>
    <t>2023-02-16</t>
  </si>
  <si>
    <t>西安</t>
  </si>
  <si>
    <t>['ISOFIX儿童座椅接口', '倒车影像', '自动驻车', '无钥匙启动系统', '无钥匙进入系统', '手机无线充电', '蓝牙/车载电话', '电动侧滑门', '后排独立空调', '后排出风口']</t>
  </si>
  <si>
    <t>./image/47042766.jpg</t>
  </si>
  <si>
    <t>传祺GS8 2020款 390T 两驱豪华智联版（七座）</t>
  </si>
  <si>
    <t>￥11.98万</t>
  </si>
  <si>
    <t>2019年12月</t>
  </si>
  <si>
    <t>2023-12</t>
  </si>
  <si>
    <t>3.8万公里</t>
  </si>
  <si>
    <t>黑色</t>
  </si>
  <si>
    <t>2023-02-15</t>
  </si>
  <si>
    <t>东莞</t>
  </si>
  <si>
    <t>['ISOFIX儿童座椅接口', '自动驻车', '无钥匙启动系统', '全液晶仪表盘', '蓝牙/车载电话', '转向辅助灯', '车内PM2.5过滤装置', '后排独立空调', '后排出风口']</t>
  </si>
  <si>
    <t>./image/47124022.jpg</t>
  </si>
  <si>
    <t>传祺M8 2023款 领秀系列 390T 尊享版</t>
  </si>
  <si>
    <t>￥20.60万</t>
  </si>
  <si>
    <t>2022年06月</t>
  </si>
  <si>
    <t>2024-06</t>
  </si>
  <si>
    <t>0.4万公里</t>
  </si>
  <si>
    <t>2023-06</t>
  </si>
  <si>
    <t>深圳</t>
  </si>
  <si>
    <t>['ISOFIX儿童座椅接口', '自动驻车', '无钥匙启动系统', '蓝牙/车载电话', '车内PM2.5过滤装置', '车载空气净化器', '后排独立空调', '后排出风口']</t>
  </si>
  <si>
    <t>./image/47115810.jpg</t>
  </si>
  <si>
    <t>传祺GS5 2019款 270T 自动豪华版</t>
  </si>
  <si>
    <t>￥8.38万</t>
  </si>
  <si>
    <t>2019年05月</t>
  </si>
  <si>
    <t xml:space="preserve">1.5T 169马力 L4 </t>
  </si>
  <si>
    <t>3.5万公里</t>
  </si>
  <si>
    <t>1.5L</t>
  </si>
  <si>
    <t>2022-12-13</t>
  </si>
  <si>
    <t>['ISOFIX儿童座椅接口', '自动驻车', '无钥匙启动系统', '蓝牙/车载电话', '车联网', '车内PM2.5过滤装置', '后排出风口']</t>
  </si>
  <si>
    <t>./image/46386194.jpg</t>
  </si>
  <si>
    <t>传祺M8 2019款 320T 至尊版</t>
  </si>
  <si>
    <t>￥15.90万</t>
  </si>
  <si>
    <t>2019年09月</t>
  </si>
  <si>
    <t>2023-09</t>
  </si>
  <si>
    <t>7万公里</t>
  </si>
  <si>
    <t>2023-01-02</t>
  </si>
  <si>
    <t>济南</t>
  </si>
  <si>
    <t>['ISOFIX儿童座椅接口', '自动驻车', '电动后备厢', '感应后备厢', '无钥匙启动系统', '蓝牙/车载电话', '车内PM2.5过滤装置', '车载空气净化器', '后排独立空调', '后排出风口']</t>
  </si>
  <si>
    <t>./image/45498652.jpg</t>
  </si>
  <si>
    <t>传祺M8 2020款 领航款 390T 尊贵版</t>
  </si>
  <si>
    <t>￥17.58万</t>
  </si>
  <si>
    <t>2020年02月</t>
  </si>
  <si>
    <t>2024-02</t>
  </si>
  <si>
    <t>4.46万公里</t>
  </si>
  <si>
    <t>2023-02</t>
  </si>
  <si>
    <t>2023-02-13</t>
  </si>
  <si>
    <t>广州</t>
  </si>
  <si>
    <t>['ISOFIX儿童座椅接口', '自动驻车', '电动后备厢', '感应后备厢', '无钥匙启动系统', '蓝牙/车载电话', '车内PM2.5过滤装置', '后排独立空调', '后排出风口']</t>
  </si>
  <si>
    <t>./image/47096429.jpg</t>
  </si>
  <si>
    <t>传祺M8 2021款 领秀系列 390T 至尊版</t>
  </si>
  <si>
    <t>￥19.68万</t>
  </si>
  <si>
    <t>2021年03月</t>
  </si>
  <si>
    <t>2023-03</t>
  </si>
  <si>
    <t>1.8万公里</t>
  </si>
  <si>
    <t>2023-01-17</t>
  </si>
  <si>
    <t>青岛</t>
  </si>
  <si>
    <t>['ISOFIX儿童座椅接口', '自动驻车', '电动后备厢', '感应后备厢', '无钥匙启动系统', '全液晶仪表盘', '蓝牙/车载电话', '车联网', '车内PM2.5过滤装置', '车载空气净化器', '后排独立空调</t>
  </si>
  <si>
    <t>./image/46856159.jpg</t>
  </si>
  <si>
    <t>传祺M6 2021款 270T DCT豪华版（七座）</t>
  </si>
  <si>
    <t>￥9.88万</t>
  </si>
  <si>
    <t>5万公里</t>
  </si>
  <si>
    <t>2023-02-12</t>
  </si>
  <si>
    <t>海口</t>
  </si>
  <si>
    <t>['ISOFIX儿童座椅接口', '自动驻车', '无钥匙启动系统', '蓝牙/车载电话', '车内PM2.5过滤装置', '车载空气净化器', '后排出风口']</t>
  </si>
  <si>
    <t>./image/47080203.jpg</t>
  </si>
  <si>
    <t>传祺GA6 2019款 270T 自动尊贵版</t>
  </si>
  <si>
    <t>￥8.15万</t>
  </si>
  <si>
    <t>2019年11月</t>
  </si>
  <si>
    <t>2023-11</t>
  </si>
  <si>
    <t>3.3万公里</t>
  </si>
  <si>
    <t>中型车</t>
  </si>
  <si>
    <t>2023-02-14</t>
  </si>
  <si>
    <t>['车道保持辅助系统', '车道偏离预警系统', '主动刹车/主动安全系统', 'ISOFIX儿童座椅接口', '自动驻车', '无钥匙启动系统', '全液晶仪表盘', '蓝牙/车载电话', '车联网', 'OTA升级', '转向辅助灯', '车内PM2.5过滤装置', '车载空气净化器', '后排出风口']</t>
  </si>
  <si>
    <t>./image/47112386.jpg</t>
  </si>
  <si>
    <t>传祺M8 2021款 领秀系列 390T 尊享版</t>
  </si>
  <si>
    <t>￥17.41万</t>
  </si>
  <si>
    <t>2021年10月</t>
  </si>
  <si>
    <t>2023-10</t>
  </si>
  <si>
    <t>1.83万公里</t>
  </si>
  <si>
    <t>2023-02-09</t>
  </si>
  <si>
    <t>[]</t>
  </si>
  <si>
    <t>./image/47051853.jpg</t>
  </si>
  <si>
    <t>传祺GS8 2017款 320T 四驱豪华智联版（七座）</t>
  </si>
  <si>
    <t>￥9.58万</t>
  </si>
  <si>
    <t>2018年01月</t>
  </si>
  <si>
    <t>5.8万公里</t>
  </si>
  <si>
    <t>前置四驱</t>
  </si>
  <si>
    <t>2023-02-11</t>
  </si>
  <si>
    <t>昆明</t>
  </si>
  <si>
    <t>['并线辅助', 'ISOFIX儿童座椅接口', '自动驻车', '电动后备厢', '感应后备厢', '无钥匙启动系统', '方向盘换挡', '方向盘加热', '蓝牙/车载电话', '220V/230V电源', '转向辅助灯', '后排独立空调', '后排出风口']</t>
  </si>
  <si>
    <t>./image/47076647.jpg</t>
  </si>
  <si>
    <t>传祺GA4 2018款 200T 自动豪华版</t>
  </si>
  <si>
    <t>￥5.38万</t>
  </si>
  <si>
    <t>2018年07月</t>
  </si>
  <si>
    <t>2024-07</t>
  </si>
  <si>
    <t xml:space="preserve">1.3T 137马力 L4 </t>
  </si>
  <si>
    <t>5.4万公里</t>
  </si>
  <si>
    <t>2023-07</t>
  </si>
  <si>
    <t>紧凑型车</t>
  </si>
  <si>
    <t>1.3L</t>
  </si>
  <si>
    <t>佛山</t>
  </si>
  <si>
    <t>['ISOFIX儿童座椅接口', '自动驻车', '无钥匙启动系统', '蓝牙/车载电话', '转向辅助灯', '车内PM2.5过滤装置', '后排出风口']</t>
  </si>
  <si>
    <t>./image/47068139.jpg</t>
  </si>
  <si>
    <t>传祺GS4 2016款 235T G-DCT豪华版</t>
  </si>
  <si>
    <t>￥5.10万</t>
  </si>
  <si>
    <t>2016年07月</t>
  </si>
  <si>
    <t xml:space="preserve">1.5T 152马力 L4 </t>
  </si>
  <si>
    <t>8万公里</t>
  </si>
  <si>
    <t>紧凑型SUV</t>
  </si>
  <si>
    <t>['ISOFIX儿童座椅接口', '倒车影像', '自动驻车', '定速巡航', '无钥匙启动系统', '无钥匙进入系统', '蓝牙/车载电话']</t>
  </si>
  <si>
    <t>./image/47052463.jpg</t>
  </si>
  <si>
    <t>传祺M8 2018款 320T 旗舰版</t>
  </si>
  <si>
    <t>￥16.10万</t>
  </si>
  <si>
    <t>2019年02月</t>
  </si>
  <si>
    <t>4.6万公里</t>
  </si>
  <si>
    <t>2023-02-05</t>
  </si>
  <si>
    <t>宁波</t>
  </si>
  <si>
    <t>['车道偏离预警系统', '主动刹车/主动安全系统', 'ISOFIX儿童座椅接口', '自动驻车', '自动泊车入位', '电动后备厢', '感应后备厢', '无钥匙启动系统', '蓝牙/车载电话', '220V/230V电源', '车内PM2.5过滤装置', '车载空气净化器', '后排独立空调', '后排出风口']</t>
  </si>
  <si>
    <t>./image/47002767.jpg</t>
  </si>
  <si>
    <t>传祺GS3 2017款 200T 自动尊贵版</t>
  </si>
  <si>
    <t>￥5.28万</t>
  </si>
  <si>
    <t>2019年10月</t>
  </si>
  <si>
    <t>小型SUV</t>
  </si>
  <si>
    <t>温州</t>
  </si>
  <si>
    <t>['ISOFIX儿童座椅接口', '自动驻车', '无钥匙启动系统', '蓝牙/车载电话', '车内PM2.5过滤装置', '后排出风口']</t>
  </si>
  <si>
    <t>./image/47079907.jpg</t>
  </si>
  <si>
    <t>传祺GS4 2017款 235T G-DCT两驱精英版</t>
  </si>
  <si>
    <t>￥6.78万</t>
  </si>
  <si>
    <t>2023-1</t>
  </si>
  <si>
    <t>5.46万公里</t>
  </si>
  <si>
    <t>2022-12</t>
  </si>
  <si>
    <t>2023-01-09</t>
  </si>
  <si>
    <t>洛阳</t>
  </si>
  <si>
    <t>./image/46736337.jpg</t>
  </si>
  <si>
    <t>传祺M8 2021款 领秀系列 390T 豪华版</t>
  </si>
  <si>
    <t>￥26.80万</t>
  </si>
  <si>
    <t>2022年12月</t>
  </si>
  <si>
    <t>2024-12</t>
  </si>
  <si>
    <t>0.2万公里</t>
  </si>
  <si>
    <t>2022-12-28</t>
  </si>
  <si>
    <t>./image/46370677.jpg</t>
  </si>
  <si>
    <t>传祺GA4 2021款 PLUS 235T 自动尊享版</t>
  </si>
  <si>
    <t>￥6.38万</t>
  </si>
  <si>
    <t>2021年04月</t>
  </si>
  <si>
    <t>2023-04</t>
  </si>
  <si>
    <t xml:space="preserve">1.5T 163马力 L3 </t>
  </si>
  <si>
    <t>./image/47065940.jpg</t>
  </si>
  <si>
    <t>传祺GA6 2019款 270T 自动精英版</t>
  </si>
  <si>
    <t>￥7.28万</t>
  </si>
  <si>
    <t>2.3万公里</t>
  </si>
  <si>
    <t>./image/47093819.jpg</t>
  </si>
  <si>
    <t>传祺GS5 Super 2015款 2.0L 自动两驱豪华导航版</t>
  </si>
  <si>
    <t>￥3.98万</t>
  </si>
  <si>
    <t>2015年07月</t>
  </si>
  <si>
    <t>2023-02-17</t>
  </si>
  <si>
    <t>徐州</t>
  </si>
  <si>
    <t>['ISOFIX儿童座椅接口', '倒车影像', '全景摄像头', '自动驻车', '定速巡航', '无钥匙启动系统', '无钥匙进入系统', '蓝牙/车载电话', '车内氛围灯', '后排出风口']</t>
  </si>
  <si>
    <t>./image/47143010.jpg</t>
  </si>
  <si>
    <t>传祺GA3 2013款 1.6L 手动精英版</t>
  </si>
  <si>
    <t>￥1.50万</t>
  </si>
  <si>
    <t>2014年02月</t>
  </si>
  <si>
    <t xml:space="preserve">1.6L 122马力 L4 </t>
  </si>
  <si>
    <t>11万公里</t>
  </si>
  <si>
    <t>手动</t>
  </si>
  <si>
    <t>银/灰色</t>
  </si>
  <si>
    <t>1.6L</t>
  </si>
  <si>
    <t>赣州</t>
  </si>
  <si>
    <t>['ISOFIX儿童座椅接口']</t>
  </si>
  <si>
    <t>./image/47052993.jpg</t>
  </si>
  <si>
    <t>传祺M8 2018款 320T 尊贵版</t>
  </si>
  <si>
    <t>￥14.50万</t>
  </si>
  <si>
    <t>2023-01</t>
  </si>
  <si>
    <t>6.32万公里</t>
  </si>
  <si>
    <t>天津</t>
  </si>
  <si>
    <t>./image/46773107.jpg</t>
  </si>
  <si>
    <t>影豹 2021款 270T 影豹J16版</t>
  </si>
  <si>
    <t>￥9.62万</t>
  </si>
  <si>
    <t>2021年07月</t>
  </si>
  <si>
    <t xml:space="preserve">1.5T 177马力 L4 </t>
  </si>
  <si>
    <t>1万公里</t>
  </si>
  <si>
    <t>2023-02-08</t>
  </si>
  <si>
    <t>南宁</t>
  </si>
  <si>
    <t>['并线辅助', '车道保持辅助系统', '车道偏离预警系统', '主动刹车/主动安全系统', 'ISOFIX儿童座椅接口', '自动驻车', '感应后备厢', '无钥匙启动系统', '方向盘换挡', '全液晶仪表盘', '蓝牙/车载电话', '车联网', 'OTA升级', '自适应远近光', '车内PM2.5过滤装置', '后排出风口']</t>
  </si>
  <si>
    <t>./image/47039591.jpg</t>
  </si>
  <si>
    <t>传祺M8 2020款 领航款 390T 至尊版</t>
  </si>
  <si>
    <t>￥17.38万</t>
  </si>
  <si>
    <t>2020年07月</t>
  </si>
  <si>
    <t>4.3万公里</t>
  </si>
  <si>
    <t>石家庄</t>
  </si>
  <si>
    <t>./image/47070260.jpg</t>
  </si>
  <si>
    <t>传祺GS8 2017款 320T 两驱豪华智联版（七座）</t>
  </si>
  <si>
    <t>￥9.98万</t>
  </si>
  <si>
    <t>2017年01月</t>
  </si>
  <si>
    <t>5.6万公里</t>
  </si>
  <si>
    <t>2023-01-16</t>
  </si>
  <si>
    <t>漳州</t>
  </si>
  <si>
    <t>['并线辅助', 'ISOFIX儿童座椅接口', '自动驻车', '无钥匙启动系统', '方向盘换挡', '方向盘加热', '蓝牙/车载电话', '220V/230V电源', '转向辅助灯', '后排独立空调', '后排出风口']</t>
  </si>
  <si>
    <t>./image/46849340.jpg</t>
  </si>
  <si>
    <t>传祺GS7 2017款 320T 两驱豪华智联型</t>
  </si>
  <si>
    <t>￥8.58万</t>
  </si>
  <si>
    <t>2018年02月</t>
  </si>
  <si>
    <t>2023-01-29</t>
  </si>
  <si>
    <t>沈阳</t>
  </si>
  <si>
    <t>['并线辅助', 'ISOFIX儿童座椅接口', '自动驻车', '无钥匙启动系统', '方向盘换挡', '方向盘加热', '蓝牙/车载电话', '转向辅助灯', '后排出风口']</t>
  </si>
  <si>
    <t>./image/46932072.jpg</t>
  </si>
  <si>
    <t>2017年10月</t>
  </si>
  <si>
    <t>8.8万公里</t>
  </si>
  <si>
    <t>2023-01-13</t>
  </si>
  <si>
    <t>重庆</t>
  </si>
  <si>
    <t>./image/46334124.jpg</t>
  </si>
  <si>
    <t>传祺M6 2019款 270T DCT尊享版（七座）国VI</t>
  </si>
  <si>
    <t>￥6.88万</t>
  </si>
  <si>
    <t>2019年07月</t>
  </si>
  <si>
    <t>12万公里</t>
  </si>
  <si>
    <t>./image/47122628.jpg</t>
  </si>
  <si>
    <t>传祺M8 2021款 大师系列 390T 至尊版</t>
  </si>
  <si>
    <t>￥18.80万</t>
  </si>
  <si>
    <t>10万公里</t>
  </si>
  <si>
    <t>2023-02-07</t>
  </si>
  <si>
    <t>常州</t>
  </si>
  <si>
    <t>./image/46871172.jpg</t>
  </si>
  <si>
    <t>传祺M6 2019款 270T 自动豪华版（七座）国V</t>
  </si>
  <si>
    <t>￥9.80万</t>
  </si>
  <si>
    <t xml:space="preserve">1.5T 171马力 L4 </t>
  </si>
  <si>
    <t>7.7万公里</t>
  </si>
  <si>
    <t>苏州</t>
  </si>
  <si>
    <t>['ISOFIX儿童座椅接口', '倒车影像', '自动驻车', '定速巡航', '无钥匙启动系统', '无钥匙进入系统', '蓝牙/车载电话', '手机互联/映射', '车内PM2.5过滤装置', '车载空气净化器', '后排出风口']</t>
  </si>
  <si>
    <t>./image/47076897.jpg</t>
  </si>
  <si>
    <t>传祺M6 2021款 270T DCT尊享版（七座）</t>
  </si>
  <si>
    <t>2.1万公里</t>
  </si>
  <si>
    <t>成都</t>
  </si>
  <si>
    <t>./image/47004035.jpg</t>
  </si>
  <si>
    <t>￥11.58万</t>
  </si>
  <si>
    <t>1.9万公里</t>
  </si>
  <si>
    <t>2023-02-10</t>
  </si>
  <si>
    <t>./image/47058459.jpg</t>
  </si>
  <si>
    <t>￥20.20万</t>
  </si>
  <si>
    <t>2020年08月</t>
  </si>
  <si>
    <t>2024-08</t>
  </si>
  <si>
    <t>2万公里</t>
  </si>
  <si>
    <t>台州</t>
  </si>
  <si>
    <t>./image/47115279.jpg</t>
  </si>
  <si>
    <t>￥17.60万</t>
  </si>
  <si>
    <t>2020年05月</t>
  </si>
  <si>
    <t>2024-05</t>
  </si>
  <si>
    <t>4万公里</t>
  </si>
  <si>
    <t>./image/46997058.jpg</t>
  </si>
  <si>
    <t>￥4.88万</t>
  </si>
  <si>
    <t>2018年10月</t>
  </si>
  <si>
    <t>2024-10</t>
  </si>
  <si>
    <t>4.5万公里</t>
  </si>
  <si>
    <t>['ISOFIX儿童座椅接口', '无钥匙启动系统', '蓝牙/车载电话', '转向辅助灯', '车内PM2.5过滤装置', '后排出风口']</t>
  </si>
  <si>
    <t>./image/47074835.jpg</t>
  </si>
  <si>
    <t>传祺GS4 2017款 235T 自动两驱豪华智联版</t>
  </si>
  <si>
    <t>￥5.88万</t>
  </si>
  <si>
    <t>2017年04月</t>
  </si>
  <si>
    <t>香槟/棕色</t>
  </si>
  <si>
    <t>['ISOFIX儿童座椅接口', '自动驻车', '无钥匙启动系统', '蓝牙/车载电话', '后排出风口']</t>
  </si>
  <si>
    <t>./image/47046222.jpg</t>
  </si>
  <si>
    <t>传祺GS3 2019款 235T 自动精英版</t>
  </si>
  <si>
    <t>2020年03月</t>
  </si>
  <si>
    <t>2024-03</t>
  </si>
  <si>
    <t>红/紫色</t>
  </si>
  <si>
    <t>['ISOFIX儿童座椅接口', '无钥匙启动系统', '蓝牙/车载电话', '车内PM2.5过滤装置', '后排出风口']</t>
  </si>
  <si>
    <t>./image/47104705.jpg</t>
  </si>
  <si>
    <t>传祺GS4 PLUS 2021款 270T 自动星河版</t>
  </si>
  <si>
    <t>￥10.38万</t>
  </si>
  <si>
    <t>2.7万公里</t>
  </si>
  <si>
    <t>2022-11-17</t>
  </si>
  <si>
    <t>['车道保持辅助系统', '车道偏离预警系统', '主动刹车/主动安全系统', 'ISOFIX儿童座椅接口', '自动驻车', '电动后备厢', '感应后备厢', '无钥匙启动系统', '全液晶仪表盘', '内置行车记录仪', '蓝牙/车载电话', '车联网', 'OTA升级', '自适应远近光', '车内PM2.5过滤装置', '车载空气净化器', '后排出风口']</t>
  </si>
  <si>
    <t>./image/45994437.jpg</t>
  </si>
  <si>
    <t>传祺GS5 2019款 270T 自动精英版</t>
  </si>
  <si>
    <t>￥7.70万</t>
  </si>
  <si>
    <t>2023-01-10</t>
  </si>
  <si>
    <t>泉州</t>
  </si>
  <si>
    <t>./image/46750895.jpg</t>
  </si>
  <si>
    <t>传祺GS4 2018款 200T G-DCT两驱精英版</t>
  </si>
  <si>
    <t>￥6.18万</t>
  </si>
  <si>
    <t>4.2万公里</t>
  </si>
  <si>
    <t>['胎压监测装置', 'ISOFIX儿童座椅接口', '车内PM2.5过滤装置', '后排出风口']</t>
  </si>
  <si>
    <t>./image/47043074.jpg</t>
  </si>
  <si>
    <t>￥19.85万</t>
  </si>
  <si>
    <t>2021年06月</t>
  </si>
  <si>
    <t>2.9万公里</t>
  </si>
  <si>
    <t>2023-02-06</t>
  </si>
  <si>
    <t>郑州</t>
  </si>
  <si>
    <t>./image/46789724.jpg</t>
  </si>
  <si>
    <t>传祺GS5 2019款 270T 自动舒适版</t>
  </si>
  <si>
    <t>￥8.28万</t>
  </si>
  <si>
    <t>2019年08月</t>
  </si>
  <si>
    <t>2023-8</t>
  </si>
  <si>
    <t>7.56万公里</t>
  </si>
  <si>
    <t>合肥</t>
  </si>
  <si>
    <t>['ISOFIX儿童座椅接口', '自动驻车', '蓝牙/车载电话', '车内PM2.5过滤装置', '后排出风口']</t>
  </si>
  <si>
    <t>./image/44720585.jpg</t>
  </si>
  <si>
    <t>￥6.98万</t>
  </si>
  <si>
    <t>7.8万公里</t>
  </si>
  <si>
    <t>2022-12-31</t>
  </si>
  <si>
    <t>./image/46327722.jpg</t>
  </si>
  <si>
    <t>影豹 2021款 270T 影豹J15版</t>
  </si>
  <si>
    <t>￥9.18万</t>
  </si>
  <si>
    <t>2021年11月</t>
  </si>
  <si>
    <t>贵阳</t>
  </si>
  <si>
    <t>['车道保持辅助系统', '车道偏离预警系统', '主动刹车/主动安全系统', 'ISOFIX儿童座椅接口', '自动驻车', '感应后备厢', '无钥匙启动系统', '方向盘换挡', '蓝牙/车载电话', '自适应远近光', '车内PM2.5过滤装置', '后排出风口']</t>
  </si>
  <si>
    <t>./image/46469054.jpg</t>
  </si>
  <si>
    <t>￥4.68万</t>
  </si>
  <si>
    <t>./image/47132327.jpg</t>
  </si>
  <si>
    <t>￥10.58万</t>
  </si>
  <si>
    <t>2021年09月</t>
  </si>
  <si>
    <t>./image/47132630.jpg</t>
  </si>
  <si>
    <t>传祺M6 2019款 270T DCT尊享版（六座）国VI</t>
  </si>
  <si>
    <t>￥9.30万</t>
  </si>
  <si>
    <t>2019年03月</t>
  </si>
  <si>
    <t>5.39万公里</t>
  </si>
  <si>
    <t>./image/47132968.jpg</t>
  </si>
  <si>
    <t>￥21.80万</t>
  </si>
  <si>
    <t>2.6万公里</t>
  </si>
  <si>
    <t>./image/47107061.jpg</t>
  </si>
  <si>
    <t>传祺GS8 2022款 领航系列 2.0TGDI 两驱尊贵版（六座）</t>
  </si>
  <si>
    <t>￥17.88万</t>
  </si>
  <si>
    <t>0.7万公里</t>
  </si>
  <si>
    <t>柳州</t>
  </si>
  <si>
    <t>['并线辅助', '车道保持辅助系统', '车道偏离预警系统', '主动刹车/主动安全系统', 'ISOFIX儿童座椅接口', '自动驻车', '自动泊车入位', '电动后备厢', '感应后备厢', '无钥匙启动系统', '方向盘换挡', '方向盘加热', '全液晶仪表盘', '蓝牙/车载电话', '车联网', 'OTA升级', '自适应远近光', '车内PM2.5过滤装置', '车载空气净化器', '后排独立空调', '后排出风口']</t>
  </si>
  <si>
    <t>./image/46789859.jpg</t>
  </si>
  <si>
    <t>￥19.98万</t>
  </si>
  <si>
    <t>2023-3</t>
  </si>
  <si>
    <t>平顶山</t>
  </si>
  <si>
    <t>./image/47104254.jpg</t>
  </si>
  <si>
    <t>传祺M6 2019款 270T 自动尊荣版（六座）国V</t>
  </si>
  <si>
    <t>￥10.78万</t>
  </si>
  <si>
    <t>['ISOFIX儿童座椅接口', '自动驻车', '无钥匙启动系统', '全液晶仪表盘', '蓝牙/车载电话', '车联网', '车内PM2.5过滤装置', '车载空气净化器', '后排出风口']</t>
  </si>
  <si>
    <t>./image/47124045.jpg</t>
  </si>
  <si>
    <t>传祺GS4新能源 2019款 1.5L PHEV尊享版</t>
  </si>
  <si>
    <t>2019年04月</t>
  </si>
  <si>
    <t xml:space="preserve">1.5L 97马力 L4 </t>
  </si>
  <si>
    <t>9万公里</t>
  </si>
  <si>
    <t>58km</t>
  </si>
  <si>
    <t xml:space="preserve">
            </t>
  </si>
  <si>
    <t>./image/46825334.jpg</t>
  </si>
  <si>
    <t>传祺M8 2020款 领航款 390T 尊享版</t>
  </si>
  <si>
    <t>￥14.98万</t>
  </si>
  <si>
    <t>3.6万公里</t>
  </si>
  <si>
    <t>['ISOFIX儿童座椅接口', '自动驻车', '无钥匙启动系统', '蓝牙/车载电话', '车内PM2.5过滤装置', '后排独立空调', '后排出风口']</t>
  </si>
  <si>
    <t>./image/45294765.jpg</t>
  </si>
  <si>
    <t>￥18.50万</t>
  </si>
  <si>
    <t>2020年09月</t>
  </si>
  <si>
    <t>2024-09</t>
  </si>
  <si>
    <t>2023-02-01</t>
  </si>
  <si>
    <t>廊坊</t>
  </si>
  <si>
    <t>./image/45612824.jpg</t>
  </si>
  <si>
    <t>传祺GS4 2020款 270T 自动豪华智联版</t>
  </si>
  <si>
    <t>￥7.78万</t>
  </si>
  <si>
    <t>3.7万公里</t>
  </si>
  <si>
    <t>['ISOFIX儿童座椅接口', '自动驻车', '无钥匙启动系统', '全液晶仪表盘', '蓝牙/车载电话', '车联网', 'OTA升级', '车内PM2.5过滤装置', '后排出风口']</t>
  </si>
  <si>
    <t>./image/46864878.jpg</t>
  </si>
  <si>
    <t>￥7.38万</t>
  </si>
  <si>
    <t>./image/47123597.jpg</t>
  </si>
  <si>
    <t>￥6.20万</t>
  </si>
  <si>
    <t>2017年09月</t>
  </si>
  <si>
    <t>9.8万公里</t>
  </si>
  <si>
    <t>乌鲁木齐</t>
  </si>
  <si>
    <t>./image/46873901.jpg</t>
  </si>
  <si>
    <t>传祺GS5 2019款 270T 自动尊享版</t>
  </si>
  <si>
    <t>￥8.80万</t>
  </si>
  <si>
    <t>6万公里</t>
  </si>
  <si>
    <t>['主动刹车/主动安全系统', 'ISOFIX儿童座椅接口', '自动驻车', '无钥匙启动系统', '蓝牙/车载电话', '车联网', '车内PM2.5过滤装置', '后排出风口']</t>
  </si>
  <si>
    <t>./image/47044976.jpg</t>
  </si>
  <si>
    <t>￥11.20万</t>
  </si>
  <si>
    <t>2022年01月</t>
  </si>
  <si>
    <t>1.6万公里</t>
  </si>
  <si>
    <t>2023-01-01</t>
  </si>
  <si>
    <t>./image/46614626.jpg</t>
  </si>
  <si>
    <t>传祺GA6 2019款 270T 自动豪华版</t>
  </si>
  <si>
    <t>./image/46963573.jpg</t>
  </si>
  <si>
    <t>传祺GA4 2018款 200T 自动尊享版</t>
  </si>
  <si>
    <t>2018年06月</t>
  </si>
  <si>
    <t>./image/47132426.jpg</t>
  </si>
  <si>
    <t>2.5万公里</t>
  </si>
  <si>
    <t>2022-11</t>
  </si>
  <si>
    <t>./image/45906927.jpg</t>
  </si>
  <si>
    <t>传祺GS4 2015款 200T G-DCT精英版</t>
  </si>
  <si>
    <t>2016年12月</t>
  </si>
  <si>
    <t>6.9万公里</t>
  </si>
  <si>
    <t>['ISOFIX儿童座椅接口', '倒车影像', '定速巡航', '电动后备厢', '感应后备厢', '无钥匙启动系统', '无钥匙进入系统', '蓝牙/车载电话', '转向辅助灯', '后排出风口']</t>
  </si>
  <si>
    <t>./image/47123941.jpg</t>
  </si>
  <si>
    <t>传祺GA6 2016款 235T DCT舒适版</t>
  </si>
  <si>
    <t>￥3.68万</t>
  </si>
  <si>
    <t>2017年11月</t>
  </si>
  <si>
    <t>2022-11-06</t>
  </si>
  <si>
    <t>['ISOFIX儿童座椅接口', '后排出风口']</t>
  </si>
  <si>
    <t>./image/45884629.jpg</t>
  </si>
  <si>
    <t>传祺GS4 2017款 235T 自动两驱精英版</t>
  </si>
  <si>
    <t>￥6.08万</t>
  </si>
  <si>
    <t>2017年06月</t>
  </si>
  <si>
    <t>2023-6</t>
  </si>
  <si>
    <t>3.24万公里</t>
  </si>
  <si>
    <t>2023-02-02</t>
  </si>
  <si>
    <t>./image/46970970.jpg</t>
  </si>
  <si>
    <t>传祺M8 2021款 领秀系列 390T 尊贵版</t>
  </si>
  <si>
    <t>2021年08月</t>
  </si>
  <si>
    <t>1.1万公里</t>
  </si>
  <si>
    <t>太原</t>
  </si>
  <si>
    <t>./image/44784208.jpg</t>
  </si>
  <si>
    <t>传祺M8 2018款 320T 豪华版</t>
  </si>
  <si>
    <t>￥12.60万</t>
  </si>
  <si>
    <t>3次（以车辆登记证为准）</t>
  </si>
  <si>
    <t>2023-02-04</t>
  </si>
  <si>
    <t>淄博</t>
  </si>
  <si>
    <t>./image/45293029.jpg</t>
  </si>
  <si>
    <t>传祺M8 2020款 大师版 390T 尊贵版</t>
  </si>
  <si>
    <t>7.31万公里</t>
  </si>
  <si>
    <t>./image/47120019.jpg</t>
  </si>
  <si>
    <t>￥21.50万</t>
  </si>
  <si>
    <t>./image/46639408.jpg</t>
  </si>
  <si>
    <t>传祺GA8 2020款 390T 尊贵版</t>
  </si>
  <si>
    <t>￥13.38万</t>
  </si>
  <si>
    <t>2022年03月</t>
  </si>
  <si>
    <t>2024-3</t>
  </si>
  <si>
    <t>1.31万公里</t>
  </si>
  <si>
    <t>2023-9</t>
  </si>
  <si>
    <t>中大型车</t>
  </si>
  <si>
    <t>./image/47121232.jpg</t>
  </si>
  <si>
    <t>￥4.80万</t>
  </si>
  <si>
    <t>3.1万公里</t>
  </si>
  <si>
    <t>2023-01-31</t>
  </si>
  <si>
    <t>./image/46011969.jpg</t>
  </si>
  <si>
    <t>./image/47000200.jpg</t>
  </si>
  <si>
    <t>￥6.90万</t>
  </si>
  <si>
    <t>5.2万公里</t>
  </si>
  <si>
    <t>./image/47045758.jpg</t>
  </si>
  <si>
    <t>传祺GS4 2017款 200T G-DCT两驱豪华版</t>
  </si>
  <si>
    <t>￥5.98万</t>
  </si>
  <si>
    <t>2017年03月</t>
  </si>
  <si>
    <t>7.3万公里</t>
  </si>
  <si>
    <t>岳阳</t>
  </si>
  <si>
    <t>['胎压监测装置', '倒车影像', '定速巡航', '无钥匙启动系统', '后排出风口']</t>
  </si>
  <si>
    <t>./image/47048152.jpg</t>
  </si>
  <si>
    <t>传祺GS4新能源 2017款 1.5L PHEV尊享版</t>
  </si>
  <si>
    <t>￥6.68万</t>
  </si>
  <si>
    <t>2018年11月</t>
  </si>
  <si>
    <t>2024-11</t>
  </si>
  <si>
    <t>./image/47133580.jpg</t>
  </si>
  <si>
    <t>传祺GA6 2015款 1.8T DCT舒适型</t>
  </si>
  <si>
    <t>￥5.68万</t>
  </si>
  <si>
    <t>2018年12月</t>
  </si>
  <si>
    <t xml:space="preserve">1.8T 177马力 L4 </t>
  </si>
  <si>
    <t>1.8L</t>
  </si>
  <si>
    <t>潍坊</t>
  </si>
  <si>
    <t>./image/42121584.jpg</t>
  </si>
  <si>
    <t>传祺GA8 2016款 320T 行政版</t>
  </si>
  <si>
    <t>￥6.43万</t>
  </si>
  <si>
    <t>2024-1</t>
  </si>
  <si>
    <t xml:space="preserve">2.0T 197马力 L4 </t>
  </si>
  <si>
    <t>5.71万公里</t>
  </si>
  <si>
    <t>./image/47133926.jpg</t>
  </si>
  <si>
    <t>传祺GS8 2020款 390T 四驱豪华智联版（七座）</t>
  </si>
  <si>
    <t>￥13.78万</t>
  </si>
  <si>
    <t>2020年01月</t>
  </si>
  <si>
    <t>嘉兴</t>
  </si>
  <si>
    <t>['ISOFIX儿童座椅接口', '自动驻车', '电动后备厢', '感应后备厢', '无钥匙启动系统', '全液晶仪表盘', '蓝牙/车载电话', '车联网', 'OTA升级', '转向辅助灯', '车内PM2.5过滤装置', '后排独立空调', '后排出风口']</t>
  </si>
  <si>
    <t>./image/47116910.jpg</t>
  </si>
  <si>
    <t>['ISOFIX儿童座椅接口', '自动驻车', '无钥匙启动系统']</t>
  </si>
  <si>
    <t>./image/47119231.jpg</t>
  </si>
  <si>
    <t>2022-12-30</t>
  </si>
  <si>
    <t>./image/46595698.jpg</t>
  </si>
  <si>
    <t>￥19.28万</t>
  </si>
  <si>
    <t>./image/47000867.jpg</t>
  </si>
  <si>
    <t>传祺M8 2021款 领秀系列 390T 旗舰版</t>
  </si>
  <si>
    <t>￥25.80万</t>
  </si>
  <si>
    <t>未上牌</t>
  </si>
  <si>
    <t>已过期</t>
  </si>
  <si>
    <t>0.01万公里</t>
  </si>
  <si>
    <t>长沙</t>
  </si>
  <si>
    <t>./image/47032509.jpg</t>
  </si>
  <si>
    <t>9.2万公里</t>
  </si>
  <si>
    <t>./image/46799124.jpg</t>
  </si>
  <si>
    <t>2023-01-12</t>
  </si>
  <si>
    <t>./image/45852463.jpg</t>
  </si>
  <si>
    <t>￥18.98万</t>
  </si>
  <si>
    <t>['胎压监测装置', '并线辅助', '车道偏离预警系统', 'ISOFIX儿童座椅接口', '倒车影像', '全景摄像头', '自动驻车', '定速巡航', '电动后备厢', '感应后备厢', '无钥匙启动系统', '无钥匙进入系统', '全液晶仪表盘', '内置行车记录仪', '蓝牙/车载电话', '车联网', '自适应远近光', '车内氛围灯', '防紫外线玻璃', '电动侧滑门', '车内PM2.5过滤装置', '车载空气净化器', '后排独立空调', '后排出风口']</t>
  </si>
  <si>
    <t>./image/47028277.jpg</t>
  </si>
  <si>
    <t>￥9.50万</t>
  </si>
  <si>
    <t>['胎压监测装置', '并线辅助', '车道保持辅助系统', '车道偏离预警系统', '主动刹车/主动安全系统', 'ISOFIX儿童座椅接口', '倒车影像', '自动驻车', '自动泊车入位', '定速巡航', '感应后备厢', '无钥匙启动系统', '无钥匙进入系统', '方向盘换挡', '全液晶仪表盘', '蓝牙/车载电话', '车联网', 'OTA升级', '自适应远近光', '车内PM2.5过滤装置', '后排出风口', '自适应巡航']</t>
  </si>
  <si>
    <t>./image/47116711.jpg</t>
  </si>
  <si>
    <t>￥20.58万</t>
  </si>
  <si>
    <t>2020年11月</t>
  </si>
  <si>
    <t>保定</t>
  </si>
  <si>
    <t>./image/46828571.jpg</t>
  </si>
  <si>
    <t>￥7.90万</t>
  </si>
  <si>
    <t>2021年12月</t>
  </si>
  <si>
    <t>绿色</t>
  </si>
  <si>
    <t>./image/47103427.jpg</t>
  </si>
  <si>
    <t>./image/45326513.jpg</t>
  </si>
  <si>
    <t>￥9.38万</t>
  </si>
  <si>
    <t>0.8万公里</t>
  </si>
  <si>
    <t>./image/46359046.jpg</t>
  </si>
  <si>
    <t>传祺M8 2023款 领秀系列 390T 豪华版</t>
  </si>
  <si>
    <t>￥21.98万</t>
  </si>
  <si>
    <t>['胎压监测装置', 'ISOFIX儿童座椅接口', '倒车影像', '自动驻车', '电动后备厢', '无钥匙启动系统', '无钥匙进入系统', '蓝牙/车载电话', '电动侧滑门', '车内PM2.5过滤装置', '车载空气净化器', '后排独立空调', '后排出风口']</t>
  </si>
  <si>
    <t>./image/46989375.jpg</t>
  </si>
  <si>
    <t>￥7.76万</t>
  </si>
  <si>
    <t>./image/47080935.jpg</t>
  </si>
  <si>
    <t>传祺GS3 2019款 235T 自动豪华版</t>
  </si>
  <si>
    <t>./image/47137180.jpg</t>
  </si>
  <si>
    <t>传祺GS4 2020款 270T 自动精英科技版</t>
  </si>
  <si>
    <t>2020年04月</t>
  </si>
  <si>
    <t>2024-04</t>
  </si>
  <si>
    <t>珠海</t>
  </si>
  <si>
    <t>./image/47011162.jpg</t>
  </si>
  <si>
    <t>￥10.98万</t>
  </si>
  <si>
    <t>2022年05月</t>
  </si>
  <si>
    <t>./image/47069807.jpg</t>
  </si>
  <si>
    <t>传祺GS4 2022款 270T 自动智行科技版</t>
  </si>
  <si>
    <t>￥10.30万</t>
  </si>
  <si>
    <t>2022年02月</t>
  </si>
  <si>
    <t>1.3万公里</t>
  </si>
  <si>
    <t>['车道保持辅助系统', '车道偏离预警系统', '主动刹车/主动安全系统', 'ISOFIX儿童座椅接口', '自动驻车', '电动后备厢', '感应后备厢', '无钥匙启动系统', '全液晶仪表盘', '蓝牙/车载电话', '车联网', '转向辅助灯', '自适应远近光', '车内PM2.5过滤装置', '车载空气净化器', '后排出风口']</t>
  </si>
  <si>
    <t>./image/46995440.jpg</t>
  </si>
  <si>
    <t>￥17.39万</t>
  </si>
  <si>
    <t>./image/46970700.jpg</t>
  </si>
  <si>
    <t>2022-11-10</t>
  </si>
  <si>
    <t>./image/45963936.jpg</t>
  </si>
  <si>
    <t>￥10.70万</t>
  </si>
  <si>
    <t>./image/46941939.jpg</t>
  </si>
  <si>
    <t>￥10.80万</t>
  </si>
  <si>
    <t>./image/47143027.jpg</t>
  </si>
  <si>
    <t>传祺GS5 Super 2015款 1.8T 自动两驱精英版</t>
  </si>
  <si>
    <t>￥4.18万</t>
  </si>
  <si>
    <t>2015年06月</t>
  </si>
  <si>
    <t>2023-01-27</t>
  </si>
  <si>
    <t>./image/45710370.jpg</t>
  </si>
  <si>
    <t>￥7.32万</t>
  </si>
  <si>
    <t>./image/45107064.jpg</t>
  </si>
  <si>
    <t>1.7万公里</t>
  </si>
  <si>
    <t>./image/47028641.jpg</t>
  </si>
  <si>
    <t>2023-01-19</t>
  </si>
  <si>
    <t>./image/44820746.jpg</t>
  </si>
  <si>
    <t>./image/47075426.jpg</t>
  </si>
  <si>
    <t>￥9.26万</t>
  </si>
  <si>
    <t>1.4万公里</t>
  </si>
  <si>
    <t>./image/47063540.jpg</t>
  </si>
  <si>
    <t>￥20.68万</t>
  </si>
  <si>
    <t>./image/46935512.jpg</t>
  </si>
  <si>
    <t>传祺GS8 2022款 领航系列 2.0TGDI 两驱尊贵版（七座）</t>
  </si>
  <si>
    <t>￥19.80万</t>
  </si>
  <si>
    <t>哈尔滨</t>
  </si>
  <si>
    <t>./image/47039960.jpg</t>
  </si>
  <si>
    <t>传祺GA6 2015款 1.8T DCT精英型</t>
  </si>
  <si>
    <t>￥3.28万</t>
  </si>
  <si>
    <t>2015年10月</t>
  </si>
  <si>
    <t>6.2万公里</t>
  </si>
  <si>
    <t>['ISOFIX儿童座椅接口', '自动驻车', '无钥匙启动系统', '后排出风口']</t>
  </si>
  <si>
    <t>./image/47119028.jpg</t>
  </si>
  <si>
    <t>￥8.23万</t>
  </si>
  <si>
    <t>3.4万公里</t>
  </si>
  <si>
    <t>2022-11-25</t>
  </si>
  <si>
    <t>./image/46221845.jpg</t>
  </si>
  <si>
    <t>黄/橙色</t>
  </si>
  <si>
    <t>./image/47011058.jpg</t>
  </si>
  <si>
    <t>传祺GS4 2017款 200T G-DCT两驱精英版</t>
  </si>
  <si>
    <t>3.2万公里</t>
  </si>
  <si>
    <t>./image/43788397.jpg</t>
  </si>
  <si>
    <t>传祺GS4 2020款 270T 自动智联科技版</t>
  </si>
  <si>
    <t>['ISOFIX儿童座椅接口', '全景摄像头', '自动驻车', '无钥匙启动系统', '全液晶仪表盘', '手机无线充电', '蓝牙/车载电话', '车联网', 'OTA升级', '车内PM2.5过滤装置', '车载空气净化器', '后排出风口']</t>
  </si>
  <si>
    <t>./image/46603031.jpg</t>
  </si>
  <si>
    <t>￥5.25万</t>
  </si>
  <si>
    <t>4.58万公里</t>
  </si>
  <si>
    <t>./image/46351945.jpg</t>
  </si>
  <si>
    <t>￥12.38万</t>
  </si>
  <si>
    <t>烟台</t>
  </si>
  <si>
    <t>./image/46967896.jpg</t>
  </si>
  <si>
    <t>0.6万公里</t>
  </si>
  <si>
    <t>2023-01-03</t>
  </si>
  <si>
    <t>./image/46367384.jpg</t>
  </si>
  <si>
    <t>2022-10</t>
  </si>
  <si>
    <t>./image/45322046.jpg</t>
  </si>
  <si>
    <t>￥7.50万</t>
  </si>
  <si>
    <t>2018年03月</t>
  </si>
  <si>
    <t>./image/47120243.jpg</t>
  </si>
  <si>
    <t>￥5.60万</t>
  </si>
  <si>
    <t>./image/47015941.jpg</t>
  </si>
  <si>
    <t>￥8.68万</t>
  </si>
  <si>
    <t>2022-12-17</t>
  </si>
  <si>
    <t>./image/46369167.jpg</t>
  </si>
  <si>
    <t>￥12.80万</t>
  </si>
  <si>
    <t>新乡</t>
  </si>
  <si>
    <t>./image/46982761.jpg</t>
  </si>
  <si>
    <t>￥6.58万</t>
  </si>
  <si>
    <t>2022-12-16</t>
  </si>
  <si>
    <t>梅州</t>
  </si>
  <si>
    <t>./image/46425477.jpg</t>
  </si>
  <si>
    <t>￥16.08万</t>
  </si>
  <si>
    <t>2023-7</t>
  </si>
  <si>
    <t>1.27万公里</t>
  </si>
  <si>
    <t>2次（以车辆登记证为准）</t>
  </si>
  <si>
    <t>./image/47030889.jpg</t>
  </si>
  <si>
    <t>￥4.98万</t>
  </si>
  <si>
    <t>2018年08月</t>
  </si>
  <si>
    <t>8.2万公里</t>
  </si>
  <si>
    <t>./image/47118434.jpg</t>
  </si>
  <si>
    <t>传祺GA3S视界 2014款 1.6L 自动豪华ESP版</t>
  </si>
  <si>
    <t>￥3.88万</t>
  </si>
  <si>
    <t>2015年03月</t>
  </si>
  <si>
    <t>5.5万公里</t>
  </si>
  <si>
    <t>['ISOFIX儿童座椅接口', '倒车影像', '定速巡航', '蓝牙/车载电话']</t>
  </si>
  <si>
    <t>./image/47107805.jpg</t>
  </si>
  <si>
    <t>￥23.88万</t>
  </si>
  <si>
    <t>./image/47052730.jpg</t>
  </si>
  <si>
    <t>传祺GA6 2016款 235T DCT精英版</t>
  </si>
  <si>
    <t>7.1万公里</t>
  </si>
  <si>
    <t>南昌</t>
  </si>
  <si>
    <t>['ISOFIX儿童座椅接口', '倒车影像', '自动驻车', '定速巡航', '无钥匙启动系统', '无钥匙进入系统', '方向盘换挡', '蓝牙/车载电话', '后排出风口']</t>
  </si>
  <si>
    <t>./image/47049495.jpg</t>
  </si>
  <si>
    <t>￥8.30万</t>
  </si>
  <si>
    <t>2020年06月</t>
  </si>
  <si>
    <t>./image/46739262.jpg</t>
  </si>
  <si>
    <t>￥6.80万</t>
  </si>
  <si>
    <t>./image/46169192.jpg</t>
  </si>
  <si>
    <t>./image/46804315.jpg</t>
  </si>
  <si>
    <t>传祺GS5 Super 2015款 1.8T 自动两驱豪华导航版</t>
  </si>
  <si>
    <t>2015年11月</t>
  </si>
  <si>
    <t>7.85万公里</t>
  </si>
  <si>
    <t>./image/46847648.jpg</t>
  </si>
  <si>
    <t>4.4万公里</t>
  </si>
  <si>
    <t>2022-12-04</t>
  </si>
  <si>
    <t>./image/46220527.jpg</t>
  </si>
  <si>
    <t>传祺GS8 2017款 320T 两驱尊贵版（七座）</t>
  </si>
  <si>
    <t>￥9.99万</t>
  </si>
  <si>
    <t>2018年05月</t>
  </si>
  <si>
    <t>./image/47132975.jpg</t>
  </si>
  <si>
    <t>./image/46923183.jpg</t>
  </si>
  <si>
    <t>2023-01-30</t>
  </si>
  <si>
    <t>永州</t>
  </si>
  <si>
    <t>./image/46941571.jpg</t>
  </si>
  <si>
    <t>￥10.00万</t>
  </si>
  <si>
    <t>6.6万公里</t>
  </si>
  <si>
    <t>./image/46968107.jpg</t>
  </si>
  <si>
    <t>￥10.28万</t>
  </si>
  <si>
    <t>0.92万公里</t>
  </si>
  <si>
    <t>./image/46595853.jpg</t>
  </si>
  <si>
    <t>影豹 2022款 270T 影豹J16 银河战机版</t>
  </si>
  <si>
    <t>2023年02月</t>
  </si>
  <si>
    <t>2025-02</t>
  </si>
  <si>
    <t>0.08万公里</t>
  </si>
  <si>
    <t>./image/46835657.jpg</t>
  </si>
  <si>
    <t>￥17.18万</t>
  </si>
  <si>
    <t>2023-01-11</t>
  </si>
  <si>
    <t>./image/45737940.jpg</t>
  </si>
  <si>
    <t>￥7.98万</t>
  </si>
  <si>
    <t>./image/47092577.jpg</t>
  </si>
  <si>
    <t>./image/47132752.jpg</t>
  </si>
  <si>
    <t>￥16.80万</t>
  </si>
  <si>
    <t>./image/46253432.jpg</t>
  </si>
  <si>
    <t>￥11.50万</t>
  </si>
  <si>
    <t>8.77万公里</t>
  </si>
  <si>
    <t>2023-01-15</t>
  </si>
  <si>
    <t>./image/46757438.jpg</t>
  </si>
  <si>
    <t>1.5万公里</t>
  </si>
  <si>
    <t>福州</t>
  </si>
  <si>
    <t>./image/47094352.jpg</t>
  </si>
  <si>
    <t>￥19.50万</t>
  </si>
  <si>
    <t>./image/47113868.jpg</t>
  </si>
  <si>
    <t>￥5.86万</t>
  </si>
  <si>
    <t>2017年05月</t>
  </si>
  <si>
    <t>2023-5</t>
  </si>
  <si>
    <t>6.63万公里</t>
  </si>
  <si>
    <t>2023-01-14</t>
  </si>
  <si>
    <t>./image/46813833.jpg</t>
  </si>
  <si>
    <t>传祺GS4 2021款 270T 自动尊享版</t>
  </si>
  <si>
    <t>['车道保持辅助系统', '车道偏离预警系统', '主动刹车/主动安全系统', 'ISOFIX儿童座椅接口', '自动驻车', '无钥匙启动系统', '全液晶仪表盘', '蓝牙/车载电话', '车联网', 'OTA升级', '转向辅助灯', '自适应远近光', '车内PM2.5过滤装置', '车载空气净化器', '后排出风口']</t>
  </si>
  <si>
    <t>./image/47111266.jpg</t>
  </si>
  <si>
    <t>￥9.20万</t>
  </si>
  <si>
    <t>2024-2</t>
  </si>
  <si>
    <t>0.9万公里</t>
  </si>
  <si>
    <t>./image/46996783.jpg</t>
  </si>
  <si>
    <t>传祺GS4 2019款 270T 手动两驱精英版</t>
  </si>
  <si>
    <t>￥5.90万</t>
  </si>
  <si>
    <t>4.7万公里</t>
  </si>
  <si>
    <t>['ISOFIX儿童座椅接口', '车内PM2.5过滤装置', '后排出风口']</t>
  </si>
  <si>
    <t>./image/47124121.jpg</t>
  </si>
  <si>
    <t>1.2万公里</t>
  </si>
  <si>
    <t>其它</t>
  </si>
  <si>
    <t>./image/46352263.jpg</t>
  </si>
  <si>
    <t>2020年10月</t>
  </si>
  <si>
    <t>2023-01-18</t>
  </si>
  <si>
    <t>绍兴</t>
  </si>
  <si>
    <t>./image/46483279.jpg</t>
  </si>
  <si>
    <t>传祺GS4 2015款 200T G-DCT舒适版</t>
  </si>
  <si>
    <t>2016年03月</t>
  </si>
  <si>
    <t>2023-01-08</t>
  </si>
  <si>
    <t>./image/46721635.jpg</t>
  </si>
  <si>
    <t>6.7万公里</t>
  </si>
  <si>
    <t>./image/46786140.jpg</t>
  </si>
  <si>
    <t>￥15.80万</t>
  </si>
  <si>
    <t>./image/47124154.jpg</t>
  </si>
  <si>
    <t>2022年04月</t>
  </si>
  <si>
    <t>2022-12-26</t>
  </si>
  <si>
    <t>./image/46557134.jpg</t>
  </si>
  <si>
    <t>惠州</t>
  </si>
  <si>
    <t>./image/47123465.jpg</t>
  </si>
  <si>
    <t>传祺GS8 2022款 双擎系列 2.0TM 两驱尊贵版 （六座）</t>
  </si>
  <si>
    <t>￥23.98万</t>
  </si>
  <si>
    <t>2022年09月</t>
  </si>
  <si>
    <t xml:space="preserve">2.0T 190马力 L4 </t>
  </si>
  <si>
    <t>['车道保持辅助系统', '车道偏离预警系统', '主动刹车/主动安全系统', 'ISOFIX儿童座椅接口', '自动驻车', '电动后备厢', '感应后备厢', '无钥匙启动系统', '全液晶仪表盘', 'HUD抬头数字显示', '内置行车记录仪', '蓝牙/车载电话', '车联网', 'OTA升级', '自适应远近光', '车内PM2.5过滤装置', '车载空气净化器', '后排独立空调', '后排出风口']</t>
  </si>
  <si>
    <t>./image/45558629.jpg</t>
  </si>
  <si>
    <t>￥19.93万</t>
  </si>
  <si>
    <t>2022-04</t>
  </si>
  <si>
    <t>./image/43112181.jpg</t>
  </si>
  <si>
    <t>￥18.70万</t>
  </si>
  <si>
    <t>3.14万公里</t>
  </si>
  <si>
    <t>./image/46136506.jpg</t>
  </si>
  <si>
    <t>传祺GS4 2017款 200T 手动两驱豪华版</t>
  </si>
  <si>
    <t>￥4.28万</t>
  </si>
  <si>
    <t>['ISOFIX儿童座椅接口', '倒车影像', '定速巡航', '蓝牙/车载电话', '后排出风口']</t>
  </si>
  <si>
    <t>./image/47114508.jpg</t>
  </si>
  <si>
    <t>./image/47032870.jpg</t>
  </si>
  <si>
    <t>传祺GA8 2016款 320T 豪华版</t>
  </si>
  <si>
    <t>2016年11月</t>
  </si>
  <si>
    <t>['ISOFIX儿童座椅接口', '自动驻车', '无钥匙启动系统', '蓝牙/车载电话', '转向辅助灯', '后排出风口']</t>
  </si>
  <si>
    <t>./image/47103970.jpg</t>
  </si>
  <si>
    <t>￥9.36万</t>
  </si>
  <si>
    <t>2017年07月</t>
  </si>
  <si>
    <t>./image/46014524.jpg</t>
  </si>
  <si>
    <t>￥9.89万</t>
  </si>
  <si>
    <t>阳江</t>
  </si>
  <si>
    <t>./image/47099564.jpg</t>
  </si>
  <si>
    <t>传祺M6 2019款 270T 自动尊享版（七座）国V</t>
  </si>
  <si>
    <t>北京</t>
  </si>
  <si>
    <t>./image/47123519.jpg</t>
  </si>
  <si>
    <t>传祺M8 2023款 大师系列 390T 尊贵版</t>
  </si>
  <si>
    <t>￥22.58万</t>
  </si>
  <si>
    <t>2022年08月</t>
  </si>
  <si>
    <t>./image/46974543.jpg</t>
  </si>
  <si>
    <t>￥13.80万</t>
  </si>
  <si>
    <t>南京</t>
  </si>
  <si>
    <t>./image/47019240.jpg</t>
  </si>
  <si>
    <t>￥22.98万</t>
  </si>
  <si>
    <t>./image/47124932.jpg</t>
  </si>
  <si>
    <t>￥28.80万</t>
  </si>
  <si>
    <t>上海</t>
  </si>
  <si>
    <t>./image/47118463.jpg</t>
  </si>
  <si>
    <t>4.8万公里</t>
  </si>
  <si>
    <t>./image/47090520.jpg</t>
  </si>
  <si>
    <t>传祺GS5 2013款 1.8T 自动两驱豪华版</t>
  </si>
  <si>
    <t>2014年05月</t>
  </si>
  <si>
    <t>['胎压监测装置', 'ISOFIX儿童座椅接口', '倒车影像', '定速巡航', '无钥匙启动系统', '无钥匙进入系统', '防紫外线玻璃', '后排出风口']</t>
  </si>
  <si>
    <t>./image/46661838.jpg</t>
  </si>
  <si>
    <t>传祺GS4 2021款 270T 自动科技纵享版</t>
  </si>
  <si>
    <t>['ISOFIX儿童座椅接口', '自动驻车', '无钥匙启动系统', '全液晶仪表盘', '蓝牙/车载电话', '车联网', 'OTA升级', '转向辅助灯', '车内PM2.5过滤装置', '车载空气净化器', '后排出风口']</t>
  </si>
  <si>
    <t>./image/47069445.jpg</t>
  </si>
  <si>
    <t>传祺GS4 2018款 235T DCT两驱豪华智联百万纪念版</t>
  </si>
  <si>
    <t>￥8.88万</t>
  </si>
  <si>
    <t>['ISOFIX儿童座椅接口', '倒车影像', '全景摄像头', '自动驻车', '定速巡航', '无钥匙启动系统', '无钥匙进入系统', '蓝牙/车载电话', '手机互联/映射', '车联网', '车内PM2.5过滤装置', '车载空气净化器', '后排出风口']</t>
  </si>
  <si>
    <t>./image/47141865.jpg</t>
  </si>
  <si>
    <t>传祺GS3 2019款 235T 自动尊贵版</t>
  </si>
  <si>
    <t>￥5.58万</t>
  </si>
  <si>
    <t>['ISOFIX儿童座椅接口', '倒车影像', '自动驻车', '定速巡航', '无钥匙启动系统', '无钥匙进入系统', '蓝牙/车载电话', '手机互联/映射', '车联网', '车内PM2.5过滤装置', '后排出风口']</t>
  </si>
  <si>
    <t>./image/47087011.jpg</t>
  </si>
  <si>
    <t>￥13.88万</t>
  </si>
  <si>
    <t>./image/47074700.jpg</t>
  </si>
  <si>
    <t>./image/46427487.jpg</t>
  </si>
  <si>
    <t>传祺M8 2023款 领秀系列 390T 至尊版</t>
  </si>
  <si>
    <t>2022年10月</t>
  </si>
  <si>
    <t>0.3万公里</t>
  </si>
  <si>
    <t>['ISOFIX儿童座椅接口', '自动驻车', '电动后备厢', '感应后备厢', '无钥匙启动系统', '方向盘加热', '全液晶仪表盘', '蓝牙/车载电话', '车联网', '车内PM2.5过滤装置', '车载空气净化器', '后排独立空调', '后排出风口']</t>
  </si>
  <si>
    <t>./image/47044810.jpg</t>
  </si>
  <si>
    <t>￥6.30万</t>
  </si>
  <si>
    <t>6.8万公里</t>
  </si>
  <si>
    <t>./image/46971457.jpg</t>
  </si>
  <si>
    <t>￥9.08万</t>
  </si>
  <si>
    <t>./image/46475369.jpg</t>
  </si>
  <si>
    <t>￥20.30万</t>
  </si>
  <si>
    <t>./image/47046764.jpg</t>
  </si>
  <si>
    <t>./image/43592091.jpg</t>
  </si>
  <si>
    <t>￥22.50万</t>
  </si>
  <si>
    <t>杭州</t>
  </si>
  <si>
    <t>./image/46397215.jpg</t>
  </si>
  <si>
    <t>￥17.80万</t>
  </si>
  <si>
    <t>2022-12-09</t>
  </si>
  <si>
    <t>揭阳</t>
  </si>
  <si>
    <t>./image/45464812.jpg</t>
  </si>
  <si>
    <t>江门</t>
  </si>
  <si>
    <t>./image/46982854.jpg</t>
  </si>
  <si>
    <t>￥9.28万</t>
  </si>
  <si>
    <t>./image/45579774.jpg</t>
  </si>
  <si>
    <t>./image/46955255.jpg</t>
  </si>
  <si>
    <t>传祺GS8 2022款 领航系列 2.0TGDI 两驱豪华智联版（七座）</t>
  </si>
  <si>
    <t>￥15.68万</t>
  </si>
  <si>
    <t>0.86万公里</t>
  </si>
  <si>
    <t>2022-12-15</t>
  </si>
  <si>
    <t>临沂</t>
  </si>
  <si>
    <t>./image/46411854.jpg</t>
  </si>
  <si>
    <t>./image/47062191.jpg</t>
  </si>
  <si>
    <t>./image/46982993.jpg</t>
  </si>
  <si>
    <t>￥8.25万</t>
  </si>
  <si>
    <t>./image/47124607.jpg</t>
  </si>
  <si>
    <t>￥18.30万</t>
  </si>
  <si>
    <t>2020年12月</t>
  </si>
  <si>
    <t>./image/47119417.jpg</t>
  </si>
  <si>
    <t>￥8.39万</t>
  </si>
  <si>
    <t>秦皇岛</t>
  </si>
  <si>
    <t>./image/47142840.jpg</t>
  </si>
  <si>
    <t>./image/47032837.jpg</t>
  </si>
  <si>
    <t>2022-12-18</t>
  </si>
  <si>
    <t>./image/45930058.jpg</t>
  </si>
  <si>
    <t>￥10.18万</t>
  </si>
  <si>
    <t>2024-6</t>
  </si>
  <si>
    <t>5.1万公里</t>
  </si>
  <si>
    <t>./image/47116392.jpg</t>
  </si>
  <si>
    <t>传祺GS3 2017款 150N 自动精英版</t>
  </si>
  <si>
    <t xml:space="preserve">1.5L 114马力 L4 </t>
  </si>
  <si>
    <t>兰州</t>
  </si>
  <si>
    <t>['ISOFIX儿童座椅接口', '蓝牙/车载电话', '车内PM2.5过滤装置']</t>
  </si>
  <si>
    <t>./image/47133846.jpg</t>
  </si>
  <si>
    <t>./image/46989422.jpg</t>
  </si>
  <si>
    <t>传祺GS4 2021款 270T 手动精英版</t>
  </si>
  <si>
    <t>邯郸</t>
  </si>
  <si>
    <t>['ISOFIX儿童座椅接口', '蓝牙/车载电话', '车内PM2.5过滤装置', '后排出风口']</t>
  </si>
  <si>
    <t>./image/47039118.jpg</t>
  </si>
  <si>
    <t>2016年06月</t>
  </si>
  <si>
    <t>['ISOFIX儿童座椅接口', '定速巡航', '无钥匙启动系统', '无钥匙进入系统']</t>
  </si>
  <si>
    <t>./image/47082387.jpg</t>
  </si>
  <si>
    <t>传祺M6 2021款 PRO 270T 自动豪华版</t>
  </si>
  <si>
    <t>￥8.90万</t>
  </si>
  <si>
    <t>./image/47024131.jpg</t>
  </si>
  <si>
    <t>传祺GS4新能源 2019款 1.5L PHEV智享版</t>
  </si>
  <si>
    <t>6.5万公里</t>
  </si>
  <si>
    <t>./image/47133167.jpg</t>
  </si>
  <si>
    <t>￥13.76万</t>
  </si>
  <si>
    <t>./image/47048113.jpg</t>
  </si>
  <si>
    <t>￥29.98万</t>
  </si>
  <si>
    <t>./image/47076813.jpg</t>
  </si>
  <si>
    <t>2024-5</t>
  </si>
  <si>
    <t>./image/46992577.jpg</t>
  </si>
  <si>
    <t>传祺GS5 2013款 2.0L 自动两驱浅内特别版</t>
  </si>
  <si>
    <t>￥3.38万</t>
  </si>
  <si>
    <t>2013年06月</t>
  </si>
  <si>
    <t>13万公里</t>
  </si>
  <si>
    <t>['ISOFIX儿童座椅接口', '定速巡航', '无钥匙启动系统', '无钥匙进入系统', '防紫外线玻璃', '后排出风口']</t>
  </si>
  <si>
    <t>./image/47036298.jpg</t>
  </si>
  <si>
    <t>￥19.20万</t>
  </si>
  <si>
    <t>./image/47122540.jpg</t>
  </si>
  <si>
    <t>￥16.88万</t>
  </si>
  <si>
    <t>./image/46323943.jpg</t>
  </si>
  <si>
    <t>传祺GS4 2020款 270T 手动豪华版</t>
  </si>
  <si>
    <t>￥7.80万</t>
  </si>
  <si>
    <t>['ISOFIX儿童座椅接口', '蓝牙/车载电话', '车联网', '车内PM2.5过滤装置', '车载空气净化器', '后排出风口']</t>
  </si>
  <si>
    <t>./image/47092406.jpg</t>
  </si>
  <si>
    <t>./image/45061610.jpg</t>
  </si>
  <si>
    <t>./image/47051782.jpg</t>
  </si>
  <si>
    <t>￥12.30万</t>
  </si>
  <si>
    <t>./image/47075141.jpg</t>
  </si>
  <si>
    <t>./image/47081264.jpg</t>
  </si>
  <si>
    <t>￥8.99万</t>
  </si>
  <si>
    <t>./image/46894906.jpg</t>
  </si>
  <si>
    <t>./image/46997173.jpg</t>
  </si>
  <si>
    <t>传祺GS5 2014款 2.0L 自动两驱超享版</t>
  </si>
  <si>
    <t>￥3.70万</t>
  </si>
  <si>
    <t>2014年06月</t>
  </si>
  <si>
    <t>2022-06</t>
  </si>
  <si>
    <t>./image/42620942.jpg</t>
  </si>
  <si>
    <t>2024-8</t>
  </si>
  <si>
    <t>11.5万公里</t>
  </si>
  <si>
    <t>镇江</t>
  </si>
  <si>
    <t>./image/46406058.jpg</t>
  </si>
  <si>
    <t>￥17.98万</t>
  </si>
  <si>
    <t>./image/47076236.jpg</t>
  </si>
  <si>
    <t>影豹 2021款 270T 影豹J16苏神限量版</t>
  </si>
  <si>
    <t>￥10.68万</t>
  </si>
  <si>
    <t>./image/47056455.jpg</t>
  </si>
  <si>
    <t>./image/47009678.jpg</t>
  </si>
  <si>
    <t>传祺M6 2019款 270T 手动精英版（七座）国VI</t>
  </si>
  <si>
    <t>['ISOFIX儿童座椅接口', '自动驻车', '车内PM2.5过滤装置', '后排出风口']</t>
  </si>
  <si>
    <t>./image/47133103.jpg</t>
  </si>
  <si>
    <t>6.3万公里</t>
  </si>
  <si>
    <t>./image/47074004.jpg</t>
  </si>
  <si>
    <t>￥16.20万</t>
  </si>
  <si>
    <t>['车道保持辅助系统', '车道偏离预警系统', '主动刹车/主动安全系统', 'ISOFIX儿童座椅接口', '自动驻车', '电动后备厢', '感应后备厢', '无钥匙启动系统', '方向盘换挡', '全液晶仪表盘', '内置行车记录仪', '蓝牙/车载电话', '车联网', 'OTA升级', '自适应远近光', '车内PM2.5过滤装置', '车载空气净化器', '后排独立空调', '后排出风口']</t>
  </si>
  <si>
    <t>./image/47138572.jpg</t>
  </si>
  <si>
    <t>传祺GS4 2017款 200T 手动两驱精英版</t>
  </si>
  <si>
    <t>三门峡</t>
  </si>
  <si>
    <t>['ISOFIX儿童座椅接口', '定速巡航', '后排出风口']</t>
  </si>
  <si>
    <t>./image/47112215.jpg</t>
  </si>
  <si>
    <t>￥18.90万</t>
  </si>
  <si>
    <t>鞍山</t>
  </si>
  <si>
    <t>./image/47000154.jpg</t>
  </si>
  <si>
    <t>￥20.66万</t>
  </si>
  <si>
    <t>./image/47134574.jpg</t>
  </si>
  <si>
    <t>传祺GS5 2012款 2.0L 自动两驱周年纪念版</t>
  </si>
  <si>
    <t>2014年01月</t>
  </si>
  <si>
    <t>13.3万公里</t>
  </si>
  <si>
    <t>['ISOFIX儿童座椅接口', '无钥匙启动系统', '后排出风口']</t>
  </si>
  <si>
    <t>./image/47090996.jpg</t>
  </si>
  <si>
    <t>￥7.86万</t>
  </si>
  <si>
    <t>['胎压监测装置', '并线辅助', '车道保持辅助系统', '车道偏离预警系统', '主动刹车/主动安全系统', 'ISOFIX儿童座椅接口', '全景摄像头', '自动驻车', '定速巡航', '无钥匙启动系统', '方向盘换挡', '全液晶仪表盘', '蓝牙/车载电话', '车联网', 'OTA升级', '自适应远近光', '车内PM2.5过滤装置', '后排出风口']</t>
  </si>
  <si>
    <t>./image/46978959.jpg</t>
  </si>
  <si>
    <t>./image/47087489.jpg</t>
  </si>
  <si>
    <t>2022-12-24</t>
  </si>
  <si>
    <t>沧州</t>
  </si>
  <si>
    <t>./image/45646925.jpg</t>
  </si>
  <si>
    <t>￥15.98万</t>
  </si>
  <si>
    <t>2022-10-25</t>
  </si>
  <si>
    <t>./image/45172731.jpg</t>
  </si>
  <si>
    <t>传祺GS8 2020款 GS8S 390T 两驱尊贵版</t>
  </si>
  <si>
    <t>￥14.80万</t>
  </si>
  <si>
    <t>2021年01月</t>
  </si>
  <si>
    <t>2022-11-18</t>
  </si>
  <si>
    <t>['胎压监测装置', 'ISOFIX儿童座椅接口', '自动驻车', '电动后备厢', '感应后备厢', '无钥匙启动系统', '方向盘加热', '全液晶仪表盘', '蓝牙/车载电话', '车联网', '车内PM2.5过滤装置', '车载空气净化器', '后排出风口']</t>
  </si>
  <si>
    <t>./image/46103028.jpg</t>
  </si>
  <si>
    <t>￥5.30万</t>
  </si>
  <si>
    <t>2016年10月</t>
  </si>
  <si>
    <t>./image/46334094.jpg</t>
  </si>
  <si>
    <t>￥2.68万</t>
  </si>
  <si>
    <t>['ISOFIX儿童座椅接口', '定速巡航', '防紫外线玻璃', '后排出风口']</t>
  </si>
  <si>
    <t>./image/46968485.jpg</t>
  </si>
  <si>
    <t>传祺M6 2019款 270T 自动精英版（七座）国V</t>
  </si>
  <si>
    <t>['胎压监测装置', 'ISOFIX儿童座椅接口', '自动驻车', '车内PM2.5过滤装置', '后排出风口']</t>
  </si>
  <si>
    <t>./image/47057005.jpg</t>
  </si>
  <si>
    <t>./image/47110702.jpg</t>
  </si>
  <si>
    <t>./image/47120141.jpg</t>
  </si>
  <si>
    <t>传祺GS7 2017款 280T 两驱豪华型</t>
  </si>
  <si>
    <t xml:space="preserve">1.8T 188马力 L4 </t>
  </si>
  <si>
    <t>./image/45796144.jpg</t>
  </si>
  <si>
    <t>2018年09月</t>
  </si>
  <si>
    <t>./image/47093662.jpg</t>
  </si>
  <si>
    <t>￥16.50万</t>
  </si>
  <si>
    <t>长春</t>
  </si>
  <si>
    <t>./image/47036955.jpg</t>
  </si>
  <si>
    <t>传祺GA5 2012款 2.0L 手动精英版</t>
  </si>
  <si>
    <t>￥1.98万</t>
  </si>
  <si>
    <t>2012年01月</t>
  </si>
  <si>
    <t xml:space="preserve">2.0L 150马力 L4 </t>
  </si>
  <si>
    <t>./image/47074596.jpg</t>
  </si>
  <si>
    <t>0.78万公里</t>
  </si>
  <si>
    <t>./image/46961429.jpg</t>
  </si>
  <si>
    <t>￥12.48万</t>
  </si>
  <si>
    <t>./image/47024892.jpg</t>
  </si>
  <si>
    <t>./image/46687409.jpg</t>
  </si>
  <si>
    <t>./image/45198733.jpg</t>
  </si>
  <si>
    <t>./image/47016411.jpg</t>
  </si>
  <si>
    <t>2022-10-17</t>
  </si>
  <si>
    <t>./image/45519526.jpg</t>
  </si>
  <si>
    <t>传祺M8 2023款 大师系列 390T 旗舰版</t>
  </si>
  <si>
    <t>￥27.38万</t>
  </si>
  <si>
    <t>0.03万公里</t>
  </si>
  <si>
    <t>2022-11-05</t>
  </si>
  <si>
    <t>./image/45701993.jpg</t>
  </si>
  <si>
    <t>./image/46975003.jpg</t>
  </si>
  <si>
    <t>./image/47037719.jpg</t>
  </si>
  <si>
    <t>2014年08月</t>
  </si>
  <si>
    <t>./image/47117745.jpg</t>
  </si>
  <si>
    <t>4.66万公里</t>
  </si>
  <si>
    <t>./image/46996489.jpg</t>
  </si>
  <si>
    <t>./image/46992676.jpg</t>
  </si>
  <si>
    <t>./image/47087495.jpg</t>
  </si>
  <si>
    <t>唐山</t>
  </si>
  <si>
    <t>./image/47094131.jpg</t>
  </si>
  <si>
    <t>￥9.68万</t>
  </si>
  <si>
    <t>7.9万公里</t>
  </si>
  <si>
    <t>邵阳</t>
  </si>
  <si>
    <t>./image/47095187.jpg</t>
  </si>
  <si>
    <t>￥20.38万</t>
  </si>
  <si>
    <t>2022-10-10</t>
  </si>
  <si>
    <t>./image/45380853.jpg</t>
  </si>
  <si>
    <t>￥22.20万</t>
  </si>
  <si>
    <t>['并线辅助', '车道偏离预警系统', '主动刹车/主动安全系统', 'ISOFIX儿童座椅接口', '自动驻车', '感应后备厢', '无钥匙启动系统', '蓝牙/车载电话', '转向辅助灯', '车内PM2.5过滤装置', '车载空气净化器', '后排独立空调', '后排出风口']</t>
  </si>
  <si>
    <t>./image/47122456.jpg</t>
  </si>
  <si>
    <t>./image/47112236.jpg</t>
  </si>
  <si>
    <t>￥21.88万</t>
  </si>
  <si>
    <t>2022年07月</t>
  </si>
  <si>
    <t>./image/47106152.jpg</t>
  </si>
  <si>
    <t>2022-12-19</t>
  </si>
  <si>
    <t>./image/45559508.jpg</t>
  </si>
  <si>
    <t>2024-7</t>
  </si>
  <si>
    <t>./image/47062130.jpg</t>
  </si>
  <si>
    <t>￥19.88万</t>
  </si>
  <si>
    <t>1.03万公里</t>
  </si>
  <si>
    <t>濮阳</t>
  </si>
  <si>
    <t>['胎压监测装置', '并线辅助', '车道保持辅助系统', '车道偏离预警系统', '主动刹车/主动安全系统', 'ISOFIX儿童座椅接口', '倒车影像', '全景摄像头', '自动驻车', '定速巡航', '中央差速器锁止', '电动后备厢', '感应后备厢', '无钥匙启动系统', '无钥匙进入系统', '电动吸合门', '主动闭合式进气格栅', '方向盘换挡', '方向盘加热', '全液晶仪表盘', '手机无线充电', 'HUD抬头数字显示', '内置行车记录仪', '蓝牙/车载电话', '手机互联/映射', '车联网', '220V/230V电源', 'OTA升级', '转向辅助灯', '转向头灯', '自适应远近光', '车内氛围灯', '防紫外线玻璃', '电动侧滑门', '车内PM2.5过滤装置', '车载空气净化器', '后排独立空调', '后排出风口', '自适应巡航']</t>
  </si>
  <si>
    <t>./image/46982183.jpg</t>
  </si>
  <si>
    <t>传祺GS8 2022款 双擎系列 2.0TM 四驱尊贵版 （七座）</t>
  </si>
  <si>
    <t>￥22.38万</t>
  </si>
  <si>
    <t>./image/47085332.jpg</t>
  </si>
  <si>
    <t>￥10.88万</t>
  </si>
  <si>
    <t>2022-10-24</t>
  </si>
  <si>
    <t>./image/45644068.jpg</t>
  </si>
  <si>
    <t>￥12.00万</t>
  </si>
  <si>
    <t>3.28万公里</t>
  </si>
  <si>
    <t>甘孜</t>
  </si>
  <si>
    <t>./image/46559462.jpg</t>
  </si>
  <si>
    <t>./image/47118905.jpg</t>
  </si>
  <si>
    <t>./image/47006031.jpg</t>
  </si>
  <si>
    <t>传祺M6 2019款 270T DCT豪华版（六座）国VI</t>
  </si>
  <si>
    <t>./image/46846377.jpg</t>
  </si>
  <si>
    <t>￥13.30万</t>
  </si>
  <si>
    <t>./image/47112446.jpg</t>
  </si>
  <si>
    <t>2022-12-14</t>
  </si>
  <si>
    <t>./image/45942730.jpg</t>
  </si>
  <si>
    <t>./image/47094361.jpg</t>
  </si>
  <si>
    <t>./image/47114403.jpg</t>
  </si>
  <si>
    <t>6.4万公里</t>
  </si>
  <si>
    <t>./image/46993639.jpg</t>
  </si>
  <si>
    <t>￥15.38万</t>
  </si>
  <si>
    <t>大连</t>
  </si>
  <si>
    <t>./image/46819185.jpg</t>
  </si>
  <si>
    <t>./image/47133200.jpg</t>
  </si>
  <si>
    <t>传祺GA3 2013款 1.6L 自动豪华ESP版</t>
  </si>
  <si>
    <t>￥3.19万</t>
  </si>
  <si>
    <t>10.7万公里</t>
  </si>
  <si>
    <t>['ISOFIX儿童座椅接口', '定速巡航']</t>
  </si>
  <si>
    <t>./image/47047219.jpg</t>
  </si>
  <si>
    <t>￥4.90万</t>
  </si>
  <si>
    <t>./image/47061236.jpg</t>
  </si>
  <si>
    <t>￥13.90万</t>
  </si>
  <si>
    <t>./image/47110583.jpg</t>
  </si>
  <si>
    <t>传祺GS4 2018款 235T 自动两驱精英版</t>
  </si>
  <si>
    <t>['ISOFIX儿童座椅接口', '自动驻车', '定速巡航', '无钥匙启动系统', '无钥匙进入系统', '车内PM2.5过滤装置', '后排出风口']</t>
  </si>
  <si>
    <t>./image/47114903.jpg</t>
  </si>
  <si>
    <t>传祺GA3S视界 2016款 200T 手动精英版</t>
  </si>
  <si>
    <t>￥2.58万</t>
  </si>
  <si>
    <t>./image/47045848.jpg</t>
  </si>
  <si>
    <t>./image/47045685.jpg</t>
  </si>
  <si>
    <t>传祺GS3 2017款 200T 自动豪华版</t>
  </si>
  <si>
    <t>￥5.18万</t>
  </si>
  <si>
    <t>./image/46933786.jpg</t>
  </si>
  <si>
    <t>￥18.99万</t>
  </si>
  <si>
    <t>./image/47129877.jpg</t>
  </si>
  <si>
    <t>2023-4</t>
  </si>
  <si>
    <t>./image/47104094.jpg</t>
  </si>
  <si>
    <t>￥18.18万</t>
  </si>
  <si>
    <t>./image/46890151.jpg</t>
  </si>
  <si>
    <t>￥6.87万</t>
  </si>
  <si>
    <t>./image/47009090.jpg</t>
  </si>
  <si>
    <t>传祺M8 2021款 大师系列 390T 四座荣耀版</t>
  </si>
  <si>
    <t>￥25.58万</t>
  </si>
  <si>
    <t>./image/47121957.jpg</t>
  </si>
  <si>
    <t>德州</t>
  </si>
  <si>
    <t>./image/46104923.jpg</t>
  </si>
  <si>
    <t>￥17.26万</t>
  </si>
  <si>
    <t>7.22万公里</t>
  </si>
  <si>
    <t>./image/45337893.jpg</t>
  </si>
  <si>
    <t>4.9万公里</t>
  </si>
  <si>
    <t>./image/47093754.jpg</t>
  </si>
  <si>
    <t>8.1万公里</t>
  </si>
  <si>
    <t>./image/46941353.jpg</t>
  </si>
  <si>
    <t>￥16.68万</t>
  </si>
  <si>
    <t>./image/47080414.jpg</t>
  </si>
  <si>
    <t>2.4万公里</t>
  </si>
  <si>
    <t>./image/46958071.jpg</t>
  </si>
  <si>
    <t>./image/47104736.jpg</t>
  </si>
  <si>
    <t>￥5.08万</t>
  </si>
  <si>
    <t>2022-11-07</t>
  </si>
  <si>
    <t>./image/45902308.jpg</t>
  </si>
  <si>
    <t>￥9.31万</t>
  </si>
  <si>
    <t>8.15万公里</t>
  </si>
  <si>
    <t>./image/47063639.jpg</t>
  </si>
  <si>
    <t>./image/46343653.jpg</t>
  </si>
  <si>
    <t>￥7.66万</t>
  </si>
  <si>
    <t>./image/47070071.jpg</t>
  </si>
  <si>
    <t>￥14.28万</t>
  </si>
  <si>
    <t>./image/46993468.jpg</t>
  </si>
  <si>
    <t>./image/47039817.jpg</t>
  </si>
  <si>
    <t>传祺M8 2020款 390T 尊贵版</t>
  </si>
  <si>
    <t>./image/47013838.jpg</t>
  </si>
  <si>
    <t>￥2.98万</t>
  </si>
  <si>
    <t>2013年03月</t>
  </si>
  <si>
    <t>./image/46544944.jpg</t>
  </si>
  <si>
    <t>￥2.88万</t>
  </si>
  <si>
    <t>2014年11月</t>
  </si>
  <si>
    <t>./image/46211329.jpg</t>
  </si>
  <si>
    <t>￥23.20万</t>
  </si>
  <si>
    <t>0.04万公里</t>
  </si>
  <si>
    <t>./image/47107110.jpg</t>
  </si>
  <si>
    <t>威海</t>
  </si>
  <si>
    <t>./image/46979597.jpg</t>
  </si>
  <si>
    <t>传祺GS4 2017款 235T 手动两驱舒适版</t>
  </si>
  <si>
    <t>￥4.60万</t>
  </si>
  <si>
    <t>10.9万公里</t>
  </si>
  <si>
    <t>./image/46814597.jpg</t>
  </si>
  <si>
    <t>￥22.80万</t>
  </si>
  <si>
    <t>['胎压监测装置', '并线辅助', '车道保持辅助系统', '车道偏离预警系统', '主动刹车/主动安全系统', 'ISOFIX儿童座椅接口', '倒车影像', '全景摄像头', '自动驻车', '自动泊车入位', '定速巡航', '电动后备厢', '感应后备厢', '无钥匙启动系统', '无钥匙进入系统', '全液晶仪表盘', '手机无线充电', '蓝牙/车载电话', '车联网', '自适应远近光', '防紫外线玻璃', '电动侧滑门', '车内PM2.5过滤装置', '车载空气净化器', '后排独立空调', '后排出风口']</t>
  </si>
  <si>
    <t>./image/47023629.jpg</t>
  </si>
  <si>
    <t>传祺GS4 2015款 200T 手动精英版</t>
  </si>
  <si>
    <t>2015年09月</t>
  </si>
  <si>
    <t>./image/47124762.jpg</t>
  </si>
  <si>
    <t>￥14.38万</t>
  </si>
  <si>
    <t>./image/47057193.jpg</t>
  </si>
  <si>
    <t>传祺GS4 2018款 235T 自动两驱豪华智联版</t>
  </si>
  <si>
    <t>￥7.88万</t>
  </si>
  <si>
    <t>./image/47120782.jpg</t>
  </si>
  <si>
    <t>./image/46971307.jpg</t>
  </si>
  <si>
    <t>￥8.98万</t>
  </si>
  <si>
    <t>2019年06月</t>
  </si>
  <si>
    <t>['ISOFIX儿童座椅接口', '倒车影像', '自动驻车', '无钥匙启动系统', '无钥匙进入系统', '全液晶仪表盘', '蓝牙/车载电话', '车内氛围灯', '车内PM2.5过滤装置', '车载空气净化器', '后排独立空调', '后排出风口']</t>
  </si>
  <si>
    <t>./image/46813311.jpg</t>
  </si>
  <si>
    <t>传祺GS4 PLUS 2022款 270T 自动星辰版</t>
  </si>
  <si>
    <t>['车道保持辅助系统', '车道偏离预警系统', '主动刹车/主动安全系统', 'ISOFIX儿童座椅接口', '自动驻车', '电动后备厢', '感应后备厢', '无钥匙启动系统', '全液晶仪表盘', '内置行车记录仪', '蓝牙/车载电话', '自适应远近光', '车内PM2.5过滤装置', '车载空气净化器', '后排出风口']</t>
  </si>
  <si>
    <t>./image/47035647.jpg</t>
  </si>
  <si>
    <t>./image/46967584.jpg</t>
  </si>
  <si>
    <t>￥8.60万</t>
  </si>
  <si>
    <t>./image/46954579.jpg</t>
  </si>
  <si>
    <t>￥7.20万</t>
  </si>
  <si>
    <t>2018年04月</t>
  </si>
  <si>
    <t>./image/46614539.jpg</t>
  </si>
  <si>
    <t>￥3.48万</t>
  </si>
  <si>
    <t>2015年08月</t>
  </si>
  <si>
    <t>./image/47082930.jpg</t>
  </si>
  <si>
    <t>传祺M8 2023款 领秀系列 390T 尊贵版</t>
  </si>
  <si>
    <t>./image/47003447.jpg</t>
  </si>
  <si>
    <t>./image/46759043.jpg</t>
  </si>
  <si>
    <t>￥13.99万</t>
  </si>
  <si>
    <t>6.49万公里</t>
  </si>
  <si>
    <t>./image/45457812.jpg</t>
  </si>
  <si>
    <t>18万公里</t>
  </si>
  <si>
    <t>./image/44149175.jpg</t>
  </si>
  <si>
    <t>￥15.60万</t>
  </si>
  <si>
    <t>./image/46843797.jpg</t>
  </si>
  <si>
    <t>￥17.68万</t>
  </si>
  <si>
    <t>3.9万公里</t>
  </si>
  <si>
    <t>./image/46368475.jpg</t>
  </si>
  <si>
    <t>￥13.95万</t>
  </si>
  <si>
    <t>./image/47121264.jpg</t>
  </si>
  <si>
    <t>￥22.46万</t>
  </si>
  <si>
    <t>./image/47138363.jpg</t>
  </si>
  <si>
    <t>传祺M8 2021款 大师系列 390T 至尊福祉版</t>
  </si>
  <si>
    <t>￥23.80万</t>
  </si>
  <si>
    <t>['胎压监测装置', '并线辅助', '车道保持辅助系统', '车道偏离预警系统', 'ISOFIX儿童座椅接口', '倒车影像', '全景摄像头', '自动驻车', '定速巡航', '电动后备厢', '感应后备厢', '无钥匙启动系统', '无钥匙进入系统', '全液晶仪表盘', '手机无线充电', '蓝牙/车载电话', '车联网', '电动侧滑门', '车内PM2.5过滤装置', '车载空气净化器', '后排独立空调', '后排出风口']</t>
  </si>
  <si>
    <t>./image/47136292.jpg</t>
  </si>
  <si>
    <t>./image/47035884.jpg</t>
  </si>
  <si>
    <t>./image/47131621.jpg</t>
  </si>
  <si>
    <t>￥19.12万</t>
  </si>
  <si>
    <t>4.65万公里</t>
  </si>
  <si>
    <t>./image/46805301.jpg</t>
  </si>
  <si>
    <t>￥4.58万</t>
  </si>
  <si>
    <t>2016年05月</t>
  </si>
  <si>
    <t>邢台</t>
  </si>
  <si>
    <t>./image/47133601.jpg</t>
  </si>
  <si>
    <t>./image/45281088.jpg</t>
  </si>
  <si>
    <t>传祺GA6 2022款 270T 自动豪华版</t>
  </si>
  <si>
    <t>0.5万公里</t>
  </si>
  <si>
    <t>./image/46785169.jpg</t>
  </si>
  <si>
    <t>./image/47060204.jpg</t>
  </si>
  <si>
    <t>传祺M8 2023款 大师系列 390T 至尊版</t>
  </si>
  <si>
    <t>￥23.50万</t>
  </si>
  <si>
    <t>./image/47005054.jpg</t>
  </si>
  <si>
    <t>./image/47112504.jpg</t>
  </si>
  <si>
    <t>7.6万公里</t>
  </si>
  <si>
    <t>./image/47097006.jpg</t>
  </si>
  <si>
    <t>传祺GS4 2017款 235T 手动两驱豪华版</t>
  </si>
  <si>
    <t>￥4.78万</t>
  </si>
  <si>
    <t>9.68万公里</t>
  </si>
  <si>
    <t>./image/46844091.jpg</t>
  </si>
  <si>
    <t>./image/47125045.jpg</t>
  </si>
  <si>
    <t>传祺GA4 2018款 150N 自动豪华版</t>
  </si>
  <si>
    <t>￥4.38万</t>
  </si>
  <si>
    <t>./image/46425159.jpg</t>
  </si>
  <si>
    <t>2022-08</t>
  </si>
  <si>
    <t>2022-12-20</t>
  </si>
  <si>
    <t>./image/44309675.jpg</t>
  </si>
  <si>
    <t>影豹 2022款 270T 影豹J16 R-style赛道版</t>
  </si>
  <si>
    <t>['车道保持辅助系统', '车道偏离预警系统', '主动刹车/主动安全系统', 'ISOFIX儿童座椅接口', '自动驻车', '感应后备厢', '无钥匙启动系统', '方向盘换挡', '全液晶仪表盘', '蓝牙/车载电话', '车联网', 'OTA升级', '自适应远近光', '车内PM2.5过滤装置', '后排出风口']</t>
  </si>
  <si>
    <t>./image/47070125.jpg</t>
  </si>
  <si>
    <t>2023-01-23</t>
  </si>
  <si>
    <t>./image/45522262.jpg</t>
  </si>
  <si>
    <t>传祺GA6 2019款 270T 自动尊享版</t>
  </si>
  <si>
    <t>./image/47058148.jpg</t>
  </si>
  <si>
    <t>￥12.68万</t>
  </si>
  <si>
    <t>./image/46939795.jpg</t>
  </si>
  <si>
    <t>￥15.00万</t>
  </si>
  <si>
    <t>./image/46063517.jpg</t>
  </si>
  <si>
    <t>传祺GS4 2021款 270T 自动豪华智联版</t>
  </si>
  <si>
    <t>￥7.68万</t>
  </si>
  <si>
    <t>./image/47008239.jpg</t>
  </si>
  <si>
    <t>2.2万公里</t>
  </si>
  <si>
    <t>./image/47141568.jpg</t>
  </si>
  <si>
    <t>./image/47090082.jpg</t>
  </si>
  <si>
    <t>2022-09</t>
  </si>
  <si>
    <t>2022-09-16</t>
  </si>
  <si>
    <t>./image/44940764.jpg</t>
  </si>
  <si>
    <t>./image/47010149.jpg</t>
  </si>
  <si>
    <t>./image/45425455.jpg</t>
  </si>
  <si>
    <t>./image/47063637.jpg</t>
  </si>
  <si>
    <t>￥4.70万</t>
  </si>
  <si>
    <t>资阳</t>
  </si>
  <si>
    <t>./image/47098693.jpg</t>
  </si>
  <si>
    <t>./image/46999689.jpg</t>
  </si>
  <si>
    <t>./image/47005924.jpg</t>
  </si>
  <si>
    <t>￥11.88万</t>
  </si>
  <si>
    <t>./image/46951114.jpg</t>
  </si>
  <si>
    <t>./image/47142805.jpg</t>
  </si>
  <si>
    <t>./image/47133341.jpg</t>
  </si>
  <si>
    <t>传祺GS4 2019款 270T 自动两驱精英版</t>
  </si>
  <si>
    <t>['ISOFIX儿童座椅接口', '自动驻车', '无钥匙启动系统', '车内PM2.5过滤装置', '后排出风口']</t>
  </si>
  <si>
    <t>./image/46984496.jpg</t>
  </si>
  <si>
    <t>￥15.99万</t>
  </si>
  <si>
    <t>./image/47119559.jpg</t>
  </si>
  <si>
    <t>￥8.26万</t>
  </si>
  <si>
    <t>./image/47102876.jpg</t>
  </si>
  <si>
    <t>7.2万公里</t>
  </si>
  <si>
    <t>['并线辅助', 'ISOFIX儿童座椅接口', '倒车影像', '全景摄像头', '自动驻车', '自动泊车入位', '定速巡航', '电动后备厢', '无钥匙启动系统', '无钥匙进入系统', '方向盘换挡', '方向盘加热', '蓝牙/车载电话', '220V/230V电源', '转向辅助灯', '自适应远近光', '后排独立空调', '后排出风口']</t>
  </si>
  <si>
    <t>./image/46641863.jpg</t>
  </si>
  <si>
    <t>./image/46979862.jpg</t>
  </si>
  <si>
    <t>./image/47043530.jpg</t>
  </si>
  <si>
    <t>2.91万公里</t>
  </si>
  <si>
    <t>./image/47085092.jpg</t>
  </si>
  <si>
    <t>./image/47082277.jpg</t>
  </si>
  <si>
    <t>./image/47013486.jpg</t>
  </si>
  <si>
    <t>￥14.88万</t>
  </si>
  <si>
    <t>./image/46981346.jpg</t>
  </si>
  <si>
    <t>['ISOFIX儿童座椅接口', '倒车影像', '自动驻车', '无钥匙启动系统', '无钥匙进入系统', '蓝牙/车载电话', '车内氛围灯', '电动侧滑门', '车内PM2.5过滤装置', '车载空气净化器', '后排独立空调', '后排出风口']</t>
  </si>
  <si>
    <t>./image/47022547.jpg</t>
  </si>
  <si>
    <t>./image/44061271.jpg</t>
  </si>
  <si>
    <t>./image/45384202.jpg</t>
  </si>
  <si>
    <t>./image/45328377.jpg</t>
  </si>
  <si>
    <t>￥21.20万</t>
  </si>
  <si>
    <t>./image/47026565.jpg</t>
  </si>
  <si>
    <t>./image/46983458.jpg</t>
  </si>
  <si>
    <t>￥12.78万</t>
  </si>
  <si>
    <t>2022-12-06</t>
  </si>
  <si>
    <t>./image/45101588.jpg</t>
  </si>
  <si>
    <t>./image/47131620.jpg</t>
  </si>
  <si>
    <t>./image/47023387.jpg</t>
  </si>
  <si>
    <t>传祺M8 2020款 大师版 390T 至尊版</t>
  </si>
  <si>
    <t>./image/47090485.jpg</t>
  </si>
  <si>
    <t>./image/44632832.jpg</t>
  </si>
  <si>
    <t>传祺GS4 2017款 235T G-DCT两驱豪华版</t>
  </si>
  <si>
    <t>￥5.92万</t>
  </si>
  <si>
    <t>./image/47045581.jpg</t>
  </si>
  <si>
    <t>2014年09月</t>
  </si>
  <si>
    <t>./image/46933691.jpg</t>
  </si>
  <si>
    <t>传祺M8 2021款 大师系列 390T 四座御尊版</t>
  </si>
  <si>
    <t>￥29.60万</t>
  </si>
  <si>
    <t>厦门</t>
  </si>
  <si>
    <t>./image/47082914.jpg</t>
  </si>
  <si>
    <t>./image/47035018.jpg</t>
  </si>
  <si>
    <t>./image/46999508.jpg</t>
  </si>
  <si>
    <t>2022-11-01</t>
  </si>
  <si>
    <t>['ISOFIX儿童座椅接口', '定速巡航', '无钥匙启动系统', '无钥匙进入系统', '后排出风口']</t>
  </si>
  <si>
    <t>./image/45402077.jpg</t>
  </si>
  <si>
    <t>./image/46600528.jpg</t>
  </si>
  <si>
    <t>./image/45619689.jpg</t>
  </si>
  <si>
    <t>￥7.18万</t>
  </si>
  <si>
    <t>2.52万公里</t>
  </si>
  <si>
    <t>西宁</t>
  </si>
  <si>
    <t>./image/46805245.jpg</t>
  </si>
  <si>
    <t>传祺GS8 2022款 领航系列 2.0TGDI 两驱豪华智联版（六座）</t>
  </si>
  <si>
    <t>./image/46321897.jpg</t>
  </si>
  <si>
    <t>./image/47122619.jpg</t>
  </si>
  <si>
    <t>./image/46324173.jpg</t>
  </si>
  <si>
    <t>传祺GS4 2021款 270T 自动精英科技版</t>
  </si>
  <si>
    <t>./image/47057833.jpg</t>
  </si>
  <si>
    <t>2025-1</t>
  </si>
  <si>
    <t>./image/47072247.jpg</t>
  </si>
  <si>
    <t>./image/47129422.jpg</t>
  </si>
  <si>
    <t>￥20.50万</t>
  </si>
  <si>
    <t>./image/47019933.jpg</t>
  </si>
  <si>
    <t>传祺GS4新能源 2017款 1.5L PHEV智享版</t>
  </si>
  <si>
    <t>￥7.08万</t>
  </si>
  <si>
    <t>9.7万公里</t>
  </si>
  <si>
    <t>./image/46088291.jpg</t>
  </si>
  <si>
    <t>3.59万公里</t>
  </si>
  <si>
    <t>./image/47051282.jpg</t>
  </si>
  <si>
    <t>./image/47141745.jpg</t>
  </si>
  <si>
    <t>./image/46074605.jpg</t>
  </si>
  <si>
    <t>￥7.30万</t>
  </si>
  <si>
    <t>./image/47032998.jpg</t>
  </si>
  <si>
    <t>韶关</t>
  </si>
  <si>
    <t>./image/47142445.jpg</t>
  </si>
  <si>
    <t>./image/46940391.jpg</t>
  </si>
  <si>
    <t>￥8.66万</t>
  </si>
  <si>
    <t>./image/47023208.jpg</t>
  </si>
  <si>
    <t>./image/46475956.jpg</t>
  </si>
  <si>
    <t>./image/46349575.jpg</t>
  </si>
  <si>
    <t>2017年02月</t>
  </si>
  <si>
    <t>./image/47075242.jpg</t>
  </si>
  <si>
    <t>7.5万公里</t>
  </si>
  <si>
    <t>./image/47142586.jpg</t>
  </si>
  <si>
    <t>./image/47135803.jpg</t>
  </si>
  <si>
    <t>10.1万公里</t>
  </si>
  <si>
    <t>./image/47064171.jpg</t>
  </si>
  <si>
    <t>￥16.30万</t>
  </si>
  <si>
    <t>2022-05</t>
  </si>
  <si>
    <t>./image/43448927.jpg</t>
  </si>
  <si>
    <t>传祺GA5 2013款 2.0L 自动精英版</t>
  </si>
  <si>
    <t>￥2.18万</t>
  </si>
  <si>
    <t>2013年02月</t>
  </si>
  <si>
    <t>./image/45608928.jpg</t>
  </si>
  <si>
    <t>传祺GS5 Super 2015款 2.0L 自动两驱精英版</t>
  </si>
  <si>
    <t>2015年12月</t>
  </si>
  <si>
    <t>['ISOFIX儿童座椅接口', '倒车影像', '定速巡航', '无钥匙启动系统', '无钥匙进入系统', '后排出风口']</t>
  </si>
  <si>
    <t>./image/46967285.jpg</t>
  </si>
  <si>
    <t>./image/47134687.jpg</t>
  </si>
  <si>
    <t>2025-06</t>
  </si>
  <si>
    <t>2022-12-25</t>
  </si>
  <si>
    <t>./image/46553877.jpg</t>
  </si>
  <si>
    <t>0.68万公里</t>
  </si>
  <si>
    <t>./image/47091712.jpg</t>
  </si>
  <si>
    <t>./image/47068365.jpg</t>
  </si>
  <si>
    <t>2016年01月</t>
  </si>
  <si>
    <t>./image/47073327.jpg</t>
  </si>
  <si>
    <t>./image/46981170.jpg</t>
  </si>
  <si>
    <t>./image/47103574.jpg</t>
  </si>
  <si>
    <t>./image/47020409.jpg</t>
  </si>
  <si>
    <t>./image/47009286.jpg</t>
  </si>
  <si>
    <t>./image/47094781.jpg</t>
  </si>
  <si>
    <t>['胎压监测装置', '并线辅助', '车道保持辅助系统', 'ISOFIX儿童座椅接口', '倒车影像', '全景摄像头', '自动驻车', '定速巡航', '无钥匙启动系统', '无钥匙进入系统', '主动闭合式进气格栅', '方向盘换挡', '方向盘加热', '蓝牙/车载电话', '220V/230V电源', '转向辅助灯', '转向头灯', '自适应远近光', '后排独立空调', '后排出风口', '自适应巡航']</t>
  </si>
  <si>
    <t>./image/46293732.jpg</t>
  </si>
  <si>
    <t>./image/47094759.jpg</t>
  </si>
  <si>
    <t>传祺GS8 2019款 390T 两驱豪华智联版（七座）</t>
  </si>
  <si>
    <t>./image/47105783.jpg</t>
  </si>
  <si>
    <t>7.72万公里</t>
  </si>
  <si>
    <t>./image/47105046.jpg</t>
  </si>
  <si>
    <t>￥7.93万</t>
  </si>
  <si>
    <t>2.59万公里</t>
  </si>
  <si>
    <t>./image/46999632.jpg</t>
  </si>
  <si>
    <t>./image/47046910.jpg</t>
  </si>
  <si>
    <t>./image/47081630.jpg</t>
  </si>
  <si>
    <t>./image/47076609.jpg</t>
  </si>
  <si>
    <t>2022-10-20</t>
  </si>
  <si>
    <t>./image/45576452.jpg</t>
  </si>
  <si>
    <t>￥8.50万</t>
  </si>
  <si>
    <t>./image/47024582.jpg</t>
  </si>
  <si>
    <t>￥10.90万</t>
  </si>
  <si>
    <t>2017年12月</t>
  </si>
  <si>
    <t>./image/47062824.jpg</t>
  </si>
  <si>
    <t>./image/45781748.jpg</t>
  </si>
  <si>
    <t>￥9.85万</t>
  </si>
  <si>
    <t>./image/47073931.jpg</t>
  </si>
  <si>
    <t>./image/47135904.jpg</t>
  </si>
  <si>
    <t>￥9.78万</t>
  </si>
  <si>
    <t>./image/47080355.jpg</t>
  </si>
  <si>
    <t>./image/47131678.jpg</t>
  </si>
  <si>
    <t>￥16.98万</t>
  </si>
  <si>
    <t>./image/46955094.jpg</t>
  </si>
  <si>
    <t>￥10.50万</t>
  </si>
  <si>
    <t>./image/47024950.jpg</t>
  </si>
  <si>
    <t>￥9.00万</t>
  </si>
  <si>
    <t>./image/46982253.jpg</t>
  </si>
  <si>
    <t>￥15.18万</t>
  </si>
  <si>
    <t>9.9万公里</t>
  </si>
  <si>
    <t>./image/47037711.jpg</t>
  </si>
  <si>
    <t>￥8.43万</t>
  </si>
  <si>
    <t>./image/47090135.jpg</t>
  </si>
  <si>
    <t>['胎压监测装置', '车道偏离预警系统', '倒车影像', '自动泊车入位', '定速巡航', '无钥匙进入系统', '220V/230V电源', '车载空气净化器']</t>
  </si>
  <si>
    <t>./image/43968549.jpg</t>
  </si>
  <si>
    <t>￥4.50万</t>
  </si>
  <si>
    <t>2.8万公里</t>
  </si>
  <si>
    <t>./image/47004529.jpg</t>
  </si>
  <si>
    <t>./image/47129968.jpg</t>
  </si>
  <si>
    <t>./image/47141621.jpg</t>
  </si>
  <si>
    <t>./image/47079057.jpg</t>
  </si>
  <si>
    <t>2021-07</t>
  </si>
  <si>
    <t>./image/40696808.jpg</t>
  </si>
  <si>
    <t>./image/47104953.jpg</t>
  </si>
  <si>
    <t>./image/46340947.jpg</t>
  </si>
  <si>
    <t>2022-9</t>
  </si>
  <si>
    <t>2023-01-05</t>
  </si>
  <si>
    <t>./image/45018467.jpg</t>
  </si>
  <si>
    <t>传祺GS8 2022款 领航系列 2.0TGDI 四驱豪华智联版（六座）</t>
  </si>
  <si>
    <t>0.61万公里</t>
  </si>
  <si>
    <t>./image/47122019.jpg</t>
  </si>
  <si>
    <t>./image/47139237.jpg</t>
  </si>
  <si>
    <t>￥14.30万</t>
  </si>
  <si>
    <t>['ISOFIX儿童座椅接口', '倒车影像', '自动驻车', '无钥匙启动系统', '蓝牙/车载电话', '车内PM2.5过滤装置', '后排独立空调', '后排出风口']</t>
  </si>
  <si>
    <t>./image/45964561.jpg</t>
  </si>
  <si>
    <t>./image/46834096.jpg</t>
  </si>
  <si>
    <t>./image/47075470.jpg</t>
  </si>
  <si>
    <t>￥14.20万</t>
  </si>
  <si>
    <t>./image/47092846.jpg</t>
  </si>
  <si>
    <t>传祺GS4 2021款 270T 自动尊贵纵享版</t>
  </si>
  <si>
    <t>./image/47053111.jpg</t>
  </si>
  <si>
    <t>￥11.38万</t>
  </si>
  <si>
    <t>./image/47019900.jpg</t>
  </si>
  <si>
    <t>传祺GS3 2017款 150N 手动豪华版</t>
  </si>
  <si>
    <t>4.1万公里</t>
  </si>
  <si>
    <t>['ISOFIX儿童座椅接口', '无钥匙启动系统', '蓝牙/车载电话', '车内PM2.5过滤装置']</t>
  </si>
  <si>
    <t>./image/47085247.jpg</t>
  </si>
  <si>
    <t>￥7.00万</t>
  </si>
  <si>
    <t>0.85万公里</t>
  </si>
  <si>
    <t>./image/47034172.jpg</t>
  </si>
  <si>
    <t>传祺GS3 2022款 POWER 270T 自动劲智版</t>
  </si>
  <si>
    <t>￥7.60万</t>
  </si>
  <si>
    <t>['车道偏离预警系统', '主动刹车/主动安全系统', 'ISOFIX儿童座椅接口', '自动驻车', '无钥匙启动系统', '蓝牙/车载电话', '车联网', '车内PM2.5过滤装置', '车载空气净化器', '后排出风口']</t>
  </si>
  <si>
    <t>./image/47069230.jpg</t>
  </si>
  <si>
    <t>1.68万公里</t>
  </si>
  <si>
    <t>./image/46957072.jpg</t>
  </si>
  <si>
    <t>./image/47025140.jpg</t>
  </si>
  <si>
    <t>￥9.60万</t>
  </si>
  <si>
    <t>./image/47083640.jpg</t>
  </si>
  <si>
    <t>./image/45796368.jpg</t>
  </si>
  <si>
    <t>./image/47133728.jpg</t>
  </si>
  <si>
    <t>￥11.28万</t>
  </si>
  <si>
    <t>5.7万公里</t>
  </si>
  <si>
    <t>./image/46969550.jpg</t>
  </si>
  <si>
    <t>./image/47034329.jpg</t>
  </si>
  <si>
    <t>￥19.90万</t>
  </si>
  <si>
    <t>./image/46969377.jpg</t>
  </si>
  <si>
    <t>./image/45882628.jpg</t>
  </si>
  <si>
    <t>1.77万公里</t>
  </si>
  <si>
    <t>./image/47135294.jpg</t>
  </si>
  <si>
    <t>￥10.20万</t>
  </si>
  <si>
    <t>./image/46583159.jpg</t>
  </si>
  <si>
    <t>./image/46408198.jpg</t>
  </si>
  <si>
    <t>潮州</t>
  </si>
  <si>
    <t>./image/46509381.jpg</t>
  </si>
  <si>
    <t>￥4.76万</t>
  </si>
  <si>
    <t>2022-12-07</t>
  </si>
  <si>
    <t>./image/45518822.jpg</t>
  </si>
  <si>
    <t>./image/46849026.jpg</t>
  </si>
  <si>
    <t>￥21.30万</t>
  </si>
  <si>
    <t>2021年02月</t>
  </si>
  <si>
    <t>./image/47142142.jpg</t>
  </si>
  <si>
    <t>./image/47051713.jpg</t>
  </si>
  <si>
    <t>./image/47010956.jpg</t>
  </si>
  <si>
    <t>传祺GS4 2015款 200T G-DCT豪华版</t>
  </si>
  <si>
    <t>['ISOFIX儿童座椅接口', '倒车影像', '定速巡航', '无钥匙启动系统', '无钥匙进入系统', '蓝牙/车载电话']</t>
  </si>
  <si>
    <t>./image/46983670.jpg</t>
  </si>
  <si>
    <t>./image/47142440.jpg</t>
  </si>
  <si>
    <t>2022-11-22</t>
  </si>
  <si>
    <t>./image/46179120.jpg</t>
  </si>
  <si>
    <t>传祺GS3 2020款 235T 自动舒享版</t>
  </si>
  <si>
    <t>￥5.20万</t>
  </si>
  <si>
    <t>./image/46566711.jpg</t>
  </si>
  <si>
    <t>./image/46982992.jpg</t>
  </si>
  <si>
    <t>9.6万公里</t>
  </si>
  <si>
    <t>./image/47122108.jpg</t>
  </si>
  <si>
    <t>./image/45796216.jpg</t>
  </si>
  <si>
    <t>./image/47134439.jpg</t>
  </si>
  <si>
    <t>传祺GS5 2013款 1.8T 手动两驱精英版</t>
  </si>
  <si>
    <t>￥3.60万</t>
  </si>
  <si>
    <t>2013年11月</t>
  </si>
  <si>
    <t>['ISOFIX儿童座椅接口', '防紫外线玻璃', '后排出风口']</t>
  </si>
  <si>
    <t>./image/47121444.jpg</t>
  </si>
  <si>
    <t>￥17.30万</t>
  </si>
  <si>
    <t>./image/47049787.jpg</t>
  </si>
  <si>
    <t>./image/47094157.jpg</t>
  </si>
  <si>
    <t>传祺GS5 2020款 进阶款 270T 自动豪华版</t>
  </si>
  <si>
    <t>益阳</t>
  </si>
  <si>
    <t>['ISOFIX儿童座椅接口', '自动驻车', '无钥匙启动系统', '方向盘换挡', '蓝牙/车载电话', '车联网', '车内PM2.5过滤装置', '车载空气净化器', '后排出风口']</t>
  </si>
  <si>
    <t>./image/47129920.jpg</t>
  </si>
  <si>
    <t>2016年04月</t>
  </si>
  <si>
    <t>./image/47111363.jpg</t>
  </si>
  <si>
    <t>传祺GA5 2013款 1.8T 自动舒适版</t>
  </si>
  <si>
    <t>./image/44026161.jpg</t>
  </si>
  <si>
    <t>./image/46979792.jpg</t>
  </si>
  <si>
    <t>2022-11-09</t>
  </si>
  <si>
    <t>./image/45808421.jpg</t>
  </si>
  <si>
    <t>9.64万公里</t>
  </si>
  <si>
    <t>./image/47102813.jpg</t>
  </si>
  <si>
    <t>./image/46979797.jpg</t>
  </si>
  <si>
    <t>./image/46940216.jpg</t>
  </si>
  <si>
    <t>￥15.88万</t>
  </si>
  <si>
    <t>./image/43035535.jpg</t>
  </si>
  <si>
    <t>./image/46354234.jpg</t>
  </si>
  <si>
    <t>传祺M8 2020款 领航款 390T 豪华版</t>
  </si>
  <si>
    <t>丽水</t>
  </si>
  <si>
    <t>./image/47139281.jpg</t>
  </si>
  <si>
    <t>传祺GA8 2017款 280T 行政版</t>
  </si>
  <si>
    <t>￥7.58万</t>
  </si>
  <si>
    <t>['并线辅助', '车道偏离预警系统', 'ISOFIX儿童座椅接口', '自动驻车', '感应后备厢', '无钥匙启动系统', '蓝牙/车载电话', '转向辅助灯', '车内PM2.5过滤装置', '车载空气净化器', '后排出风口']</t>
  </si>
  <si>
    <t>./image/47021412.jpg</t>
  </si>
  <si>
    <t>./image/47070768.jpg</t>
  </si>
  <si>
    <t>./image/47036233.jpg</t>
  </si>
  <si>
    <t>2023-01-06</t>
  </si>
  <si>
    <t>./image/46691542.jpg</t>
  </si>
  <si>
    <t>./image/47102354.jpg</t>
  </si>
  <si>
    <t>￥29.00万</t>
  </si>
  <si>
    <t>./image/46625712.jpg</t>
  </si>
  <si>
    <t>传祺GS3 2021款 POWER 270T 自动劲智版</t>
  </si>
  <si>
    <t>./image/47024172.jpg</t>
  </si>
  <si>
    <t>./image/46961282.jpg</t>
  </si>
  <si>
    <t>传祺GA8 2017款 280T 尊享版</t>
  </si>
  <si>
    <t>./image/45864740.jpg</t>
  </si>
  <si>
    <t>￥8.96万</t>
  </si>
  <si>
    <t>3.49万公里</t>
  </si>
  <si>
    <t>./image/47117512.jpg</t>
  </si>
  <si>
    <t>./image/46224832.jpg</t>
  </si>
  <si>
    <t>./image/47101979.jpg</t>
  </si>
  <si>
    <t>./image/46320910.jpg</t>
  </si>
  <si>
    <t>2022-08-31</t>
  </si>
  <si>
    <t>./image/44662635.jpg</t>
  </si>
  <si>
    <t>./image/47123925.jpg</t>
  </si>
  <si>
    <t>./image/45883187.jpg</t>
  </si>
  <si>
    <t>￥4.25万</t>
  </si>
  <si>
    <t>./image/47103691.jpg</t>
  </si>
  <si>
    <t>./image/45795802.jpg</t>
  </si>
  <si>
    <t>1.02万公里</t>
  </si>
  <si>
    <t>./image/45899420.jpg</t>
  </si>
  <si>
    <t>./image/47064922.jpg</t>
  </si>
  <si>
    <t>￥27.50万</t>
  </si>
  <si>
    <t>2022-10-30</t>
  </si>
  <si>
    <t>./image/45760725.jpg</t>
  </si>
  <si>
    <t>./image/46984109.jpg</t>
  </si>
  <si>
    <t>传祺GS5 2021款 进阶款 270T 科技智领版</t>
  </si>
  <si>
    <t>￥10.60万</t>
  </si>
  <si>
    <t>['车道保持辅助系统', '车道偏离预警系统', '主动刹车/主动安全系统', 'ISOFIX儿童座椅接口', '自动驻车', '电动后备厢', '感应后备厢', '无钥匙启动系统', '方向盘换挡', '蓝牙/车载电话', '车联网', '自适应远近光', '车内PM2.5过滤装置', '车载空气净化器', '后排出风口']</t>
  </si>
  <si>
    <t>./image/47116211.jpg</t>
  </si>
  <si>
    <t>./image/46961582.jpg</t>
  </si>
  <si>
    <t>￥16.18万</t>
  </si>
  <si>
    <t>./image/46002694.jpg</t>
  </si>
  <si>
    <t>8.31万公里</t>
  </si>
  <si>
    <t>银川</t>
  </si>
  <si>
    <t>./image/44539433.jpg</t>
  </si>
  <si>
    <t>传祺M6 2019款 270T DCT精英版（七座）国VI</t>
  </si>
  <si>
    <t>￥8.75万</t>
  </si>
  <si>
    <t>./image/47051069.jpg</t>
  </si>
  <si>
    <t>传祺GS5 2014款 2.0L 手动两驱周年增值版</t>
  </si>
  <si>
    <t>8.6万公里</t>
  </si>
  <si>
    <t>./image/47131199.jpg</t>
  </si>
  <si>
    <t>./image/47093549.jpg</t>
  </si>
  <si>
    <t>./image/45506193.jpg</t>
  </si>
  <si>
    <t>2022-09-24</t>
  </si>
  <si>
    <t>./image/45102309.jpg</t>
  </si>
  <si>
    <t>￥5.77万</t>
  </si>
  <si>
    <t>./image/47109497.jpg</t>
  </si>
  <si>
    <t>传祺GA6 2016款 235T DCT豪华版</t>
  </si>
  <si>
    <t>9.3万公里</t>
  </si>
  <si>
    <t>河源</t>
  </si>
  <si>
    <t>['ISOFIX儿童座椅接口', '自动驻车', '无钥匙启动系统', '方向盘换挡', '蓝牙/车载电话', '后排出风口']</t>
  </si>
  <si>
    <t>./image/47055628.jpg</t>
  </si>
  <si>
    <t>./image/47057174.jpg</t>
  </si>
  <si>
    <t>./image/47048361.jpg</t>
  </si>
  <si>
    <t>./image/47045153.jpg</t>
  </si>
  <si>
    <t>传祺M8 2021款 改款 领秀系列 390T 豪华版</t>
  </si>
  <si>
    <t>./image/47021371.jpg</t>
  </si>
  <si>
    <t>5.26万公里</t>
  </si>
  <si>
    <t>./image/47106356.jpg</t>
  </si>
  <si>
    <t>传祺M6 2019款 270T DCT尊贵版（七座）国VI</t>
  </si>
  <si>
    <t>./image/47060987.jpg</t>
  </si>
  <si>
    <t>￥19.30万</t>
  </si>
  <si>
    <t>./image/47003340.jpg</t>
  </si>
  <si>
    <t>8.4万公里</t>
  </si>
  <si>
    <t>./image/46980561.jpg</t>
  </si>
  <si>
    <t>5.28万公里</t>
  </si>
  <si>
    <t>./image/46954659.jpg</t>
  </si>
  <si>
    <t>./image/47058715.jpg</t>
  </si>
  <si>
    <t>2.01万公里</t>
  </si>
  <si>
    <t>./image/47087790.jpg</t>
  </si>
  <si>
    <t>2014年03月</t>
  </si>
  <si>
    <t>./image/47132696.jpg</t>
  </si>
  <si>
    <t>./image/47135828.jpg</t>
  </si>
  <si>
    <t>./image/47079103.jpg</t>
  </si>
  <si>
    <t>./image/43985420.jpg</t>
  </si>
  <si>
    <t>0.17万公里</t>
  </si>
  <si>
    <t>./image/47016808.jpg</t>
  </si>
  <si>
    <t>./image/43671544.jpg</t>
  </si>
  <si>
    <t>./image/47034851.jpg</t>
  </si>
  <si>
    <t>1.33万公里</t>
  </si>
  <si>
    <t>./image/46817111.jpg</t>
  </si>
  <si>
    <t>￥14.18万</t>
  </si>
  <si>
    <t>2024-9</t>
  </si>
  <si>
    <t>./image/46637515.jpg</t>
  </si>
  <si>
    <t>传祺GS4 2018款 235T 手动两驱精英版</t>
  </si>
  <si>
    <t>￥5.74万</t>
  </si>
  <si>
    <t>3.67万公里</t>
  </si>
  <si>
    <t>./image/47001222.jpg</t>
  </si>
  <si>
    <t>传祺GS5 2012款 2.0L 手动两驱舒适版</t>
  </si>
  <si>
    <t>￥3.58万</t>
  </si>
  <si>
    <t>15万公里</t>
  </si>
  <si>
    <t>./image/46944569.jpg</t>
  </si>
  <si>
    <t>./image/47013178.jpg</t>
  </si>
  <si>
    <t>孝感</t>
  </si>
  <si>
    <t>./image/45835858.jpg</t>
  </si>
  <si>
    <t>影酷 2022款 1.5T 超新星Max版</t>
  </si>
  <si>
    <t>￥12.88万</t>
  </si>
  <si>
    <t>['并线辅助', '车道保持辅助系统', '车道偏离预警系统', '主动刹车/主动安全系统', 'ISOFIX儿童座椅接口', '自动驻车', '自动泊车入位', '电动后备厢', '感应后备厢', '无钥匙启动系统', '全液晶仪表盘', 'HUD抬头数字显示', '蓝牙/车载电话', '车联网', 'OTA升级', '自适应远近光', '车内PM2.5过滤装置', '车载空气净化器', '后排出风口']</t>
  </si>
  <si>
    <t>./image/47055334.jpg</t>
  </si>
  <si>
    <t>./image/47068991.jpg</t>
  </si>
  <si>
    <t>￥2.31万</t>
  </si>
  <si>
    <t>./image/46802529.jpg</t>
  </si>
  <si>
    <t>./image/46386445.jpg</t>
  </si>
  <si>
    <t>传祺GA8 2017款 320T 尊享版</t>
  </si>
  <si>
    <t>['ISOFIX儿童座椅接口', '自动驻车', '无钥匙启动系统', '蓝牙/车载电话', '转向辅助灯', '车内PM2.5过滤装置', '车载空气净化器', '后排出风口']</t>
  </si>
  <si>
    <t>./image/47137288.jpg</t>
  </si>
  <si>
    <t>￥14.60万</t>
  </si>
  <si>
    <t>2023-01-28</t>
  </si>
  <si>
    <t>./image/46345538.jpg</t>
  </si>
  <si>
    <t>./image/46332045.jpg</t>
  </si>
  <si>
    <t>￥20.98万</t>
  </si>
  <si>
    <t>0.57万公里</t>
  </si>
  <si>
    <t>['并线辅助', '车道保持辅助系统', '车道偏离预警系统', '主动刹车/主动安全系统', 'ISOFIX儿童座椅接口', '自动驻车', '自动泊车入位', '电动后备厢', '感应后备厢', '无钥匙启动系统', '方向盘加热', '全液晶仪表盘', '蓝牙/车载电话', '车联网', '自适应远近光', '车内PM2.5过滤装置', '车载空气净化器', '后排独立空调', '后排出风口']</t>
  </si>
  <si>
    <t>./image/47012103.jpg</t>
  </si>
  <si>
    <t>1.21万公里</t>
  </si>
  <si>
    <t>./image/46359660.jpg</t>
  </si>
  <si>
    <t>./image/47134465.jpg</t>
  </si>
  <si>
    <t>./image/47028308.jpg</t>
  </si>
  <si>
    <t>./image/47115052.jpg</t>
  </si>
  <si>
    <t>./image/47012127.jpg</t>
  </si>
  <si>
    <t>./image/47065064.jpg</t>
  </si>
  <si>
    <t>0.38万公里</t>
  </si>
  <si>
    <t>安阳</t>
  </si>
  <si>
    <t>./image/46591034.jpg</t>
  </si>
  <si>
    <t>2022-12-23</t>
  </si>
  <si>
    <t>./image/46379215.jpg</t>
  </si>
  <si>
    <t>2016年09月</t>
  </si>
  <si>
    <t>中山</t>
  </si>
  <si>
    <t>./image/47023909.jpg</t>
  </si>
  <si>
    <t>5.83万公里</t>
  </si>
  <si>
    <t>./image/47017569.jpg</t>
  </si>
  <si>
    <t>传祺GS3 2021款 POWER 270T 自动劲享版</t>
  </si>
  <si>
    <t>￥5.80万</t>
  </si>
  <si>
    <t>./image/45955354.jpg</t>
  </si>
  <si>
    <t>2022-12-21</t>
  </si>
  <si>
    <t>./image/46508612.jpg</t>
  </si>
  <si>
    <t>./image/47132774.jpg</t>
  </si>
  <si>
    <t>./image/47028351.jpg</t>
  </si>
  <si>
    <t>￥4.36万</t>
  </si>
  <si>
    <t>./image/45339990.jpg</t>
  </si>
  <si>
    <t>8.81万公里</t>
  </si>
  <si>
    <t>2022-12-03</t>
  </si>
  <si>
    <t>./image/46320613.jpg</t>
  </si>
  <si>
    <t>￥19.70万</t>
  </si>
  <si>
    <t>5.3万公里</t>
  </si>
  <si>
    <t>./image/47073007.jpg</t>
  </si>
  <si>
    <t>./image/47108336.jpg</t>
  </si>
  <si>
    <t>./image/47045161.jpg</t>
  </si>
  <si>
    <t>传祺GS5 2013款 1.8T 自动四驱五周年纪念版</t>
  </si>
  <si>
    <t>2014年04月</t>
  </si>
  <si>
    <t>11.4万公里</t>
  </si>
  <si>
    <t>./image/47035656.jpg</t>
  </si>
  <si>
    <t>￥15.58万</t>
  </si>
  <si>
    <t>./image/47119627.jpg</t>
  </si>
  <si>
    <t>0.02万公里</t>
  </si>
  <si>
    <t>['胎压监测装置', '并线辅助', '车道保持辅助系统', '车道偏离预警系统', '主动刹车/主动安全系统', 'ISOFIX儿童座椅接口', '倒车影像', '全景摄像头', '自动驻车', '自动泊车入位', '定速巡航', '中央差速器锁止', '电动后备厢', '感应后备厢', '无钥匙启动系统', '无钥匙进入系统', '主动闭合式进气格栅', '方向盘换挡', '方向盘加热', '全液晶仪表盘', '手机无线充电', '内置行车记录仪', '蓝牙/车载电话', '手机互联/映射', '车联网', '220V/230V电源', 'OTA升级', '转向辅助灯', '转向头灯', '自适应远近光', '车内氛围灯', '防紫外线玻璃', '电动侧滑门', '车内PM2.5过滤装置', '车载空气净化器', '后排独立空调', '后排出风口', '自适应巡航']</t>
  </si>
  <si>
    <t>./image/47061406.jpg</t>
  </si>
  <si>
    <t>￥28.90万</t>
  </si>
  <si>
    <t>2024-4</t>
  </si>
  <si>
    <t>./image/44165450.jpg</t>
  </si>
  <si>
    <t>2.75万公里</t>
  </si>
  <si>
    <t>./image/46951979.jpg</t>
  </si>
  <si>
    <t>￥5.53万</t>
  </si>
  <si>
    <t>2.68万公里</t>
  </si>
  <si>
    <t>./image/47014408.jpg</t>
  </si>
  <si>
    <t>./image/46949824.jpg</t>
  </si>
  <si>
    <t>传祺GS5 2020款 进阶款 270T 自动尊享版</t>
  </si>
  <si>
    <t>2027-8</t>
  </si>
  <si>
    <t>2.48万公里</t>
  </si>
  <si>
    <t>./image/46936493.jpg</t>
  </si>
  <si>
    <t>./image/45918028.jpg</t>
  </si>
  <si>
    <t>./image/44767702.jpg</t>
  </si>
  <si>
    <t>￥12.50万</t>
  </si>
  <si>
    <t>./image/47128986.jpg</t>
  </si>
  <si>
    <t>￥17.90万</t>
  </si>
  <si>
    <t>./image/46813601.jpg</t>
  </si>
  <si>
    <t>./image/44770243.jpg</t>
  </si>
  <si>
    <t>传祺GA6 2019款 270T 自动智慧版</t>
  </si>
  <si>
    <t>./image/46980050.jpg</t>
  </si>
  <si>
    <t>./image/45383923.jpg</t>
  </si>
  <si>
    <t>2023-01-04</t>
  </si>
  <si>
    <t>./image/46389812.jpg</t>
  </si>
  <si>
    <t>￥19.95万</t>
  </si>
  <si>
    <t>0.05万公里</t>
  </si>
  <si>
    <t>./image/47137445.jpg</t>
  </si>
  <si>
    <t>./image/46772754.jpg</t>
  </si>
  <si>
    <t>￥7.99万</t>
  </si>
  <si>
    <t>0.98万公里</t>
  </si>
  <si>
    <t>./image/46990791.jpg</t>
  </si>
  <si>
    <t>0.88万公里</t>
  </si>
  <si>
    <t>./image/45422571.jpg</t>
  </si>
  <si>
    <t>￥5.55万</t>
  </si>
  <si>
    <t>17.13万公里</t>
  </si>
  <si>
    <t>./image/47131723.jpg</t>
  </si>
  <si>
    <t>传祺M6 2019款 270T 自动尊荣版（七座）国V</t>
  </si>
  <si>
    <t>./image/47090798.jpg</t>
  </si>
  <si>
    <t>0.09万公里</t>
  </si>
  <si>
    <t>./image/47065250.jpg</t>
  </si>
  <si>
    <t>./image/46365784.jpg</t>
  </si>
  <si>
    <t>./image/43247414.jpg</t>
  </si>
  <si>
    <t>￥5.15万</t>
  </si>
  <si>
    <t>./image/46997241.jpg</t>
  </si>
  <si>
    <t>./image/47143167.jpg</t>
  </si>
  <si>
    <t>￥19.38万</t>
  </si>
  <si>
    <t>./image/47134123.jpg</t>
  </si>
  <si>
    <t>./image/44793282.jpg</t>
  </si>
  <si>
    <t>./image/46994845.jpg</t>
  </si>
  <si>
    <t>./image/47059349.jpg</t>
  </si>
  <si>
    <t>./image/47035853.jpg</t>
  </si>
  <si>
    <t>['ISOFIX儿童座椅接口', '自动驻车', '无钥匙启动系统', '全液晶仪表盘', '蓝牙/车载电话', '车联网', 'OTA升级', '车内PM2.5过滤装置', '车载空气净化器', '后排出风口']</t>
  </si>
  <si>
    <t>./image/47138970.jpg</t>
  </si>
  <si>
    <t>￥16.38万</t>
  </si>
  <si>
    <t>./image/46381601.jpg</t>
  </si>
  <si>
    <t>￥11.78万</t>
  </si>
  <si>
    <t>泰州</t>
  </si>
  <si>
    <t>./image/46993874.jpg</t>
  </si>
  <si>
    <t>￥3.50万</t>
  </si>
  <si>
    <t>2013年10月</t>
  </si>
  <si>
    <t>2022-11-19</t>
  </si>
  <si>
    <t>./image/46124630.jpg</t>
  </si>
  <si>
    <t>￥28.28万</t>
  </si>
  <si>
    <t>['车道保持辅助系统', '车道偏离预警系统', '主动刹车/主动安全系统', 'ISOFIX儿童座椅接口', '自动驻车', '电动后备厢', '感应后备厢', '无钥匙启动系统', '全液晶仪表盘', '蓝牙/车载电话', '车联网', '自适应远近光', '车内PM2.5过滤装置', '车载空气净化器', '后排独立空调', '后排出风口']</t>
  </si>
  <si>
    <t>./image/46837381.jpg</t>
  </si>
  <si>
    <t>./image/47117818.jpg</t>
  </si>
  <si>
    <t>传祺M6 2021款 PRO 270T DCT尊享版</t>
  </si>
  <si>
    <t>['ISOFIX儿童座椅接口', '自动驻车', '无钥匙启动系统', '内置行车记录仪', '蓝牙/车载电话', '车内PM2.5过滤装置', '车载空气净化器', '后排出风口']</t>
  </si>
  <si>
    <t>./image/46979555.jpg</t>
  </si>
  <si>
    <t>￥6.00万</t>
  </si>
  <si>
    <t>./image/44944986.jpg</t>
  </si>
  <si>
    <t>./image/45774794.jpg</t>
  </si>
  <si>
    <t>2022-12-11</t>
  </si>
  <si>
    <t>./image/46373563.jpg</t>
  </si>
  <si>
    <t>./image/46957657.jpg</t>
  </si>
  <si>
    <t>./image/47125920.jpg</t>
  </si>
  <si>
    <t>./image/46352167.jpg</t>
  </si>
  <si>
    <t>传祺GS4 2015款 200T 手动豪华版</t>
  </si>
  <si>
    <t>./image/45644737.jpg</t>
  </si>
  <si>
    <t>￥6.99万</t>
  </si>
  <si>
    <t>南充</t>
  </si>
  <si>
    <t>./image/47080483.jpg</t>
  </si>
  <si>
    <t>./image/47118936.jpg</t>
  </si>
  <si>
    <t>￥8.18万</t>
  </si>
  <si>
    <t>./image/47106861.jpg</t>
  </si>
  <si>
    <t>2016年02月</t>
  </si>
  <si>
    <t>./image/47072142.jpg</t>
  </si>
  <si>
    <t>['ISOFIX儿童座椅接口', '倒车影像', '自动驻车', '电动后备厢', '无钥匙启动系统', '无钥匙进入系统', '蓝牙/车载电话', '车内氛围灯', '电动侧滑门', '车内PM2.5过滤装置', '车载空气净化器', '后排独立空调', '后排出风口']</t>
  </si>
  <si>
    <t>./image/47056845.jpg</t>
  </si>
  <si>
    <t>./image/47103125.jpg</t>
  </si>
  <si>
    <t>￥11.80万</t>
  </si>
  <si>
    <t>./image/46970218.jpg</t>
  </si>
  <si>
    <t>./image/45553748.jpg</t>
  </si>
  <si>
    <t>./image/47063706.jpg</t>
  </si>
  <si>
    <t>./image/47069332.jpg</t>
  </si>
  <si>
    <t>./image/47059612.jpg</t>
  </si>
  <si>
    <t>./image/47055338.jpg</t>
  </si>
  <si>
    <t>./image/47121016.jpg</t>
  </si>
  <si>
    <t>./image/47049727.jpg</t>
  </si>
  <si>
    <t>￥10.48万</t>
  </si>
  <si>
    <t>./image/47052762.jpg</t>
  </si>
  <si>
    <t>传祺M8 2023款 宗师系列 400T 自动旗舰</t>
  </si>
  <si>
    <t>￥29.88万</t>
  </si>
  <si>
    <t>2023年01月</t>
  </si>
  <si>
    <t>0.1万公里</t>
  </si>
  <si>
    <t>['并线辅助', '车道保持辅助系统', '车道偏离预警系统', '主动刹车/主动安全系统', 'ISOFIX儿童座椅接口', '自动驻车', '电动后备厢', '感应后备厢', '无钥匙启动系统', '方向盘加热', '全液晶仪表盘', '内置行车记录仪', '蓝牙/车载电话', '车联网', 'OTA升级', '自适应远近光', '车内PM2.5过滤装置', '车载空气净化器', '后排独立空调', '后排出风口']</t>
  </si>
  <si>
    <t>./image/47141963.jpg</t>
  </si>
  <si>
    <t>['并线辅助', '车道保持辅助系统', '车道偏离预警系统', '主动刹车/主动安全系统', 'ISOFIX儿童座椅接口', '自动驻车', '自动泊车入位', '电动后备厢', '感应后备厢', '无钥匙启动系统', '全液晶仪表盘', '蓝牙/车载电话', '车联网', '自适应远近光', '车内PM2.5过滤装置', '车载空气净化器', '后排独立空调', '后排出风口']</t>
  </si>
  <si>
    <t>./image/47120422.jpg</t>
  </si>
  <si>
    <t>5.18万公里</t>
  </si>
  <si>
    <t>['胎压监测装置', '倒车影像', '蓝牙/车载电话', '自适应远近光']</t>
  </si>
  <si>
    <t>./image/38602325.jpg</t>
  </si>
  <si>
    <t>./image/47004273.jpg</t>
  </si>
  <si>
    <t>￥18.48万</t>
  </si>
  <si>
    <t>['胎压监测装置', 'ISOFIX儿童座椅接口', '倒车影像', '全景摄像头', '自动驻车', '定速巡航', '电动后备厢', '感应后备厢', '无钥匙启动系统', '全液晶仪表盘', '手机无线充电', '蓝牙/车载电话', '车联网', '自适应远近光', '车内氛围灯', '车内PM2.5过滤装置', '车载空气净化器', '后排独立空调', '后排出风口', '自适应巡航']</t>
  </si>
  <si>
    <t>./image/46604342.jpg</t>
  </si>
  <si>
    <t>无锡</t>
  </si>
  <si>
    <t>./image/47044192.jpg</t>
  </si>
  <si>
    <t>./image/45624621.jpg</t>
  </si>
  <si>
    <t>./image/46561260.jpg</t>
  </si>
  <si>
    <t>./image/47135621.jpg</t>
  </si>
  <si>
    <t>2025-2</t>
  </si>
  <si>
    <t>['ISOFIX儿童座椅接口', '倒车影像', '自动驻车', '电动后备厢', '无钥匙启动系统', '无钥匙进入系统', '蓝牙/车载电话', '220V/230V电源', '车内氛围灯', '电动侧滑门', '车内PM2.5过滤装置', '车载空气净化器', '后排独立空调', '后排出风口']</t>
  </si>
  <si>
    <t>./image/47136071.jpg</t>
  </si>
  <si>
    <t>./image/45938807.jpg</t>
  </si>
  <si>
    <t>./image/44254121.jpg</t>
  </si>
  <si>
    <t>￥9.90万</t>
  </si>
  <si>
    <t>./image/46726010.jpg</t>
  </si>
  <si>
    <t>传祺M8 2020款 领航款 390T 旗舰版</t>
  </si>
  <si>
    <t>￥17.50万</t>
  </si>
  <si>
    <t>['车道保持辅助系统', '车道偏离预警系统', '主动刹车/主动安全系统', 'ISOFIX儿童座椅接口', '自动驻车', '自动泊车入位', '电动后备厢', '感应后备厢', '无钥匙启动系统', '蓝牙/车载电话', '自适应远近光', '车内PM2.5过滤装置', '后排独立空调', '后排出风口']</t>
  </si>
  <si>
    <t>./image/46628160.jpg</t>
  </si>
  <si>
    <t>￥16.45万</t>
  </si>
  <si>
    <t>./image/46995006.jpg</t>
  </si>
  <si>
    <t>2022-12-29</t>
  </si>
  <si>
    <t>昌吉</t>
  </si>
  <si>
    <t>./image/45981239.jpg</t>
  </si>
  <si>
    <t>￥7.48万</t>
  </si>
  <si>
    <t>./image/46775392.jpg</t>
  </si>
  <si>
    <t>￥20.88万</t>
  </si>
  <si>
    <t>['胎压监测装置', '并线辅助', '车道保持辅助系统', '车道偏离预警系统', '主动刹车/主动安全系统', 'ISOFIX儿童座椅接口', '倒车影像', '全景摄像头', '自动驻车', '定速巡航', '电动后备厢', '感应后备厢', '无钥匙启动系统', '无钥匙进入系统', '方向盘加热', '全液晶仪表盘', '手机无线充电', '内置行车记录仪', '蓝牙/车载电话', '手机互联/映射', '车联网', '220V/230V电源', 'OTA升级', '转向辅助灯', '转向头灯', '自适应远近光', '车内氛围灯', '防紫外线玻璃', '电动侧滑门', '车内PM2.5过滤装置', '车载空气净化器', '后排独立空调', '后排出风口', '自适应巡航']</t>
  </si>
  <si>
    <t>./image/45558561.jpg</t>
  </si>
  <si>
    <t>./image/47021876.jpg</t>
  </si>
  <si>
    <t>./image/47080393.jpg</t>
  </si>
  <si>
    <t>￥9.37万</t>
  </si>
  <si>
    <t>./image/46713166.jpg</t>
  </si>
  <si>
    <t>./image/47110274.jpg</t>
  </si>
  <si>
    <t>./image/47112631.jpg</t>
  </si>
  <si>
    <t>./image/46861312.jpg</t>
  </si>
  <si>
    <t>4.78万公里</t>
  </si>
  <si>
    <t>./image/46858350.jpg</t>
  </si>
  <si>
    <t>./image/45645875.jpg</t>
  </si>
  <si>
    <t>./image/47108500.jpg</t>
  </si>
  <si>
    <t>./image/46473853.jpg</t>
  </si>
  <si>
    <t>./image/46567308.jpg</t>
  </si>
  <si>
    <t>./image/47074505.jpg</t>
  </si>
  <si>
    <t>./image/46364813.jpg</t>
  </si>
  <si>
    <t>./image/44997454.jpg</t>
  </si>
  <si>
    <t>./image/47095983.jpg</t>
  </si>
  <si>
    <t>./image/44926328.jpg</t>
  </si>
  <si>
    <t>./image/45414556.jpg</t>
  </si>
  <si>
    <t>./image/47005895.jpg</t>
  </si>
  <si>
    <t>./image/47121890.jpg</t>
  </si>
  <si>
    <t>8.5万公里</t>
  </si>
  <si>
    <t>./image/46999481.jpg</t>
  </si>
  <si>
    <t>./image/47140928.jpg</t>
  </si>
  <si>
    <t>传祺M6 2019款 270T 自动尊享版（六座）国V</t>
  </si>
  <si>
    <t>./image/46310117.jpg</t>
  </si>
  <si>
    <t>￥11.00万</t>
  </si>
  <si>
    <t>0.96万公里</t>
  </si>
  <si>
    <t>./image/47128651.jpg</t>
  </si>
  <si>
    <t>['车道保持辅助系统', '车道偏离预警系统', '主动刹车/主动安全系统', 'ISOFIX儿童座椅接口', '自动驻车', '无钥匙启动系统', '全液晶仪表盘', '蓝牙/车载电话', '车联网', '自适应远近光', '车内PM2.5过滤装置', '车载空气净化器', '后排出风口']</t>
  </si>
  <si>
    <t>./image/46955148.jpg</t>
  </si>
  <si>
    <t>4.86万公里</t>
  </si>
  <si>
    <t>./image/47136297.jpg</t>
  </si>
  <si>
    <t>./image/47133077.jpg</t>
  </si>
  <si>
    <t>./image/47060518.jpg</t>
  </si>
  <si>
    <t>./image/44969999.jpg</t>
  </si>
  <si>
    <t>./image/46980604.jpg</t>
  </si>
  <si>
    <t>./image/47122688.jpg</t>
  </si>
  <si>
    <t>./image/46957025.jpg</t>
  </si>
  <si>
    <t>￥17.20万</t>
  </si>
  <si>
    <t>7.08万公里</t>
  </si>
  <si>
    <t>./image/46362292.jpg</t>
  </si>
  <si>
    <t>['胎压监测装置', '并线辅助', '车道保持辅助系统', '车道偏离预警系统', '主动刹车/主动安全系统', 'ISOFIX儿童座椅接口', '倒车影像', '全景摄像头', '自动驻车', '定速巡航', '感应后备厢', '无钥匙启动系统', '无钥匙进入系统', '方向盘换挡', '全液晶仪表盘', '手机无线充电', '蓝牙/车载电话', '手机互联/映射', '转向辅助灯', '自适应远近光', '车内氛围灯', '车内PM2.5过滤装置', '车载空气净化器', '后排独立空调', '后排出风口', '自适应巡航']</t>
  </si>
  <si>
    <t>./image/47132034.jpg</t>
  </si>
  <si>
    <t>￥8.06万</t>
  </si>
  <si>
    <t>./image/47116781.jpg</t>
  </si>
  <si>
    <t>./image/46386400.jpg</t>
  </si>
  <si>
    <t>./image/47081045.jpg</t>
  </si>
  <si>
    <t>传祺GS3 2017款 200T 自动精英版</t>
  </si>
  <si>
    <t>./image/47055885.jpg</t>
  </si>
  <si>
    <t>2022-12-22</t>
  </si>
  <si>
    <t>./image/46516070.jpg</t>
  </si>
  <si>
    <t>./image/45982160.jpg</t>
  </si>
  <si>
    <t>￥11.59万</t>
  </si>
  <si>
    <t>2022-12-10</t>
  </si>
  <si>
    <t>./image/44179247.jpg</t>
  </si>
  <si>
    <t>￥29.77万</t>
  </si>
  <si>
    <t>./image/47098827.jpg</t>
  </si>
  <si>
    <t>1.38万公里</t>
  </si>
  <si>
    <t>./image/46136868.jpg</t>
  </si>
  <si>
    <t>传祺GS8 2021款 390T 两驱豪华智联纪念版（七座）</t>
  </si>
  <si>
    <t>./image/47074312.jpg</t>
  </si>
  <si>
    <t>./image/47076934.jpg</t>
  </si>
  <si>
    <t>['胎压监测装置', 'ISOFIX儿童座椅接口', '倒车影像', '自动驻车', '定速巡航', '无钥匙启动系统', '无钥匙进入系统', '蓝牙/车载电话', '后排出风口']</t>
  </si>
  <si>
    <t>./image/47112965.jpg</t>
  </si>
  <si>
    <t>./image/47002279.jpg</t>
  </si>
  <si>
    <t>￥19.25万</t>
  </si>
  <si>
    <t>['胎压监测装置', '并线辅助', '主动刹车/主动安全系统', 'ISOFIX儿童座椅接口', '倒车影像', '全景摄像头', '自动驻车', '定速巡航', '电动后备厢', '感应后备厢', '无钥匙启动系统', '全液晶仪表盘', '内置行车记录仪', '蓝牙/车载电话', '车联网', '车内PM2.5过滤装置', '车载空气净化器', '后排独立空调', '后排出风口', '自适应巡航']</t>
  </si>
  <si>
    <t>./image/47058846.jpg</t>
  </si>
  <si>
    <t>./image/46608958.jpg</t>
  </si>
  <si>
    <t>￥13.58万</t>
  </si>
  <si>
    <t>9.5万公里</t>
  </si>
  <si>
    <t>./image/46004832.jpg</t>
  </si>
  <si>
    <t>./image/45035814.jpg</t>
  </si>
  <si>
    <t>传祺GS4 2017款 200T G-DCT两驱舒适版</t>
  </si>
  <si>
    <t>./image/47071720.jpg</t>
  </si>
  <si>
    <t>./image/47124608.jpg</t>
  </si>
  <si>
    <t>./image/46983536.jpg</t>
  </si>
  <si>
    <t>传祺GA8 2016款 320T 至尊版</t>
  </si>
  <si>
    <t>['胎压监测装置', '并线辅助', '车道保持辅助系统', '车道偏离预警系统', '主动刹车/主动安全系统', 'ISOFIX儿童座椅接口', '倒车影像', '全景摄像头', '自动驻车', '定速巡航', '感应后备厢', '无钥匙启动系统', '无钥匙进入系统', 'HUD抬头数字显示', '蓝牙/车载电话', '转向辅助灯', '车内氛围灯', '后排独立空调', '后排出风口', '自适应巡航']</t>
  </si>
  <si>
    <t>./image/46969012.jpg</t>
  </si>
  <si>
    <t>传祺GS8 2017款 320T 四驱至尊版（七座）</t>
  </si>
  <si>
    <t>['胎压监测装置', '并线辅助', '车道偏离预警系统', '主动刹车/主动安全系统', 'ISOFIX儿童座椅接口', '自动驻车', '电动后备厢', '感应后备厢', '无钥匙启动系统', '方向盘换挡', '方向盘加热', '蓝牙/车载电话', '220V/230V电源', '转向辅助灯', '后排独立空调', '后排出风口']</t>
  </si>
  <si>
    <t>./image/47016838.jpg</t>
  </si>
  <si>
    <t>./image/47005871.jpg</t>
  </si>
  <si>
    <t>传祺GS4 PLUS 2021款 390T 自动星云版</t>
  </si>
  <si>
    <t>1.35万公里</t>
  </si>
  <si>
    <t>./image/44208771.jpg</t>
  </si>
  <si>
    <t>./image/47067431.jpg</t>
  </si>
  <si>
    <t>./image/46391973.jpg</t>
  </si>
  <si>
    <t>传祺GA5 2011款 2.0L 自动豪华版</t>
  </si>
  <si>
    <t>￥1.35万</t>
  </si>
  <si>
    <t>2011年02月</t>
  </si>
  <si>
    <t>./image/46789996.jpg</t>
  </si>
  <si>
    <t>./image/47084267.jpg</t>
  </si>
  <si>
    <t>./image/47072360.jpg</t>
  </si>
  <si>
    <t>2025-12</t>
  </si>
  <si>
    <t>7.84万公里</t>
  </si>
  <si>
    <t>./image/47116094.jpg</t>
  </si>
  <si>
    <t>阜阳</t>
  </si>
  <si>
    <t>./image/43373644.jpg</t>
  </si>
  <si>
    <t>2023-01-24</t>
  </si>
  <si>
    <t>绵阳</t>
  </si>
  <si>
    <t>./image/45598072.jpg</t>
  </si>
  <si>
    <t>传祺GS3 2017款 150N 手动精英版</t>
  </si>
  <si>
    <t>./image/47107039.jpg</t>
  </si>
  <si>
    <t>./image/45054580.jpg</t>
  </si>
  <si>
    <t>./image/47046338.jpg</t>
  </si>
  <si>
    <t>￥9.70万</t>
  </si>
  <si>
    <t>./image/46773240.jpg</t>
  </si>
  <si>
    <t>￥4.35万</t>
  </si>
  <si>
    <t>./image/47096512.jpg</t>
  </si>
  <si>
    <t>./image/47093147.jpg</t>
  </si>
  <si>
    <t>￥9.77万</t>
  </si>
  <si>
    <t>5.14万公里</t>
  </si>
  <si>
    <t>./image/47118825.jpg</t>
  </si>
  <si>
    <t>./image/46381069.jpg</t>
  </si>
  <si>
    <t>./image/46395729.jpg</t>
  </si>
  <si>
    <t>./image/47000631.jpg</t>
  </si>
  <si>
    <t>￥19.58万</t>
  </si>
  <si>
    <t>./image/46545103.jpg</t>
  </si>
  <si>
    <t>./image/47036660.jpg</t>
  </si>
  <si>
    <t>￥4.65万</t>
  </si>
  <si>
    <t>./image/47032090.jpg</t>
  </si>
  <si>
    <t>./image/46942020.jpg</t>
  </si>
  <si>
    <t>￥16.00万</t>
  </si>
  <si>
    <t>./image/46994155.jpg</t>
  </si>
  <si>
    <t>['胎压监测装置', '并线辅助', 'ISOFIX儿童座椅接口', '倒车影像', '全景摄像头', '自动驻车', '定速巡航', '无钥匙启动系统', '无钥匙进入系统', '方向盘换挡', '方向盘加热', '蓝牙/车载电话', '220V/230V电源', '转向辅助灯', '后排独立空调', '后排出风口', '自适应巡航']</t>
  </si>
  <si>
    <t>./image/47096390.jpg</t>
  </si>
  <si>
    <t>./image/47009502.jpg</t>
  </si>
  <si>
    <t>传祺GA4 2018款 200T 自动尊贵版</t>
  </si>
  <si>
    <t>￥6.28万</t>
  </si>
  <si>
    <t>./image/47061357.jpg</t>
  </si>
  <si>
    <t>./image/47114610.jpg</t>
  </si>
  <si>
    <t>./image/45512650.jpg</t>
  </si>
  <si>
    <t>./image/46833007.jpg</t>
  </si>
  <si>
    <t>['ISOFIX儿童座椅接口', '倒车影像', '定速巡航', '无钥匙启动系统', '无钥匙进入系统', '蓝牙/车载电话', '后排出风口']</t>
  </si>
  <si>
    <t>./image/46971576.jpg</t>
  </si>
  <si>
    <t>1.45万公里</t>
  </si>
  <si>
    <t>./image/46425483.jpg</t>
  </si>
  <si>
    <t>7.66万公里</t>
  </si>
  <si>
    <t>./image/47050970.jpg</t>
  </si>
  <si>
    <t>./image/47002259.jpg</t>
  </si>
  <si>
    <t>./image/47086816.jpg</t>
  </si>
  <si>
    <t>￥13.20万</t>
  </si>
  <si>
    <t>./image/46388456.jpg</t>
  </si>
  <si>
    <t>2022-11-21</t>
  </si>
  <si>
    <t>./image/46155850.jpg</t>
  </si>
  <si>
    <t>./image/46974185.jpg</t>
  </si>
  <si>
    <t>￥12.90万</t>
  </si>
  <si>
    <t>2022-07</t>
  </si>
  <si>
    <t>./image/43322061.jpg</t>
  </si>
  <si>
    <t>./image/47026501.jpg</t>
  </si>
  <si>
    <t>2015年04月</t>
  </si>
  <si>
    <t>./image/47120922.jpg</t>
  </si>
  <si>
    <t>./image/40693846.jpg</t>
  </si>
  <si>
    <t>￥8.86万</t>
  </si>
  <si>
    <t>./image/47046237.jpg</t>
  </si>
  <si>
    <t>./image/47045982.jpg</t>
  </si>
  <si>
    <t>./image/47048754.jpg</t>
  </si>
  <si>
    <t>./image/47138077.jpg</t>
  </si>
  <si>
    <t>￥8.65万</t>
  </si>
  <si>
    <t>./image/44970026.jpg</t>
  </si>
  <si>
    <t>￥21.68万</t>
  </si>
  <si>
    <t>./image/47057018.jpg</t>
  </si>
  <si>
    <t>桂林</t>
  </si>
  <si>
    <t>./image/45846065.jpg</t>
  </si>
  <si>
    <t>2022-09-20</t>
  </si>
  <si>
    <t>./image/45017319.jpg</t>
  </si>
  <si>
    <t>./image/46955299.jpg</t>
  </si>
  <si>
    <t>./image/47044524.jpg</t>
  </si>
  <si>
    <t>./image/47047382.jpg</t>
  </si>
  <si>
    <t>['胎压监测装置', '并线辅助', '车道保持辅助系统', '车道偏离预警系统', '主动刹车/主动安全系统', 'ISOFIX儿童座椅接口', '倒车影像', '全景摄像头', '自动驻车', '自动泊车入位', '定速巡航', '电动后备厢', '感应后备厢', '无钥匙启动系统', '无钥匙进入系统', '电动吸合门', '蓝牙/车载电话', '手机互联/映射', '车联网', '220V/230V电源', '转向辅助灯', '转向头灯', '自适应远近光', '车内氛围灯', '防紫外线玻璃', '电动侧滑门', '车内PM2.5过滤装置', '车载空气净化器', '后排独立空调', '后排出风口', '自适应巡航']</t>
  </si>
  <si>
    <t>./image/46978002.jpg</t>
  </si>
  <si>
    <t>./image/44512049.jpg</t>
  </si>
  <si>
    <t>./image/46873252.jpg</t>
  </si>
  <si>
    <t>￥11.70万</t>
  </si>
  <si>
    <t>./image/46069717.jpg</t>
  </si>
  <si>
    <t>./image/47137023.jpg</t>
  </si>
  <si>
    <t>./image/46985900.jpg</t>
  </si>
  <si>
    <t>2022-11-11</t>
  </si>
  <si>
    <t>./image/45582595.jpg</t>
  </si>
  <si>
    <t>传祺GS4 2020款 270T 自动尊享版</t>
  </si>
  <si>
    <t>信阳</t>
  </si>
  <si>
    <t>['车道保持辅助系统', '车道偏离预警系统', '主动刹车/主动安全系统', 'ISOFIX儿童座椅接口', '自动驻车', '无钥匙启动系统', '全液晶仪表盘', '蓝牙/车载电话', '车联网', 'OTA升级', '自适应远近光', '车内PM2.5过滤装置', '车载空气净化器', '后排出风口']</t>
  </si>
  <si>
    <t>./image/47106739.jpg</t>
  </si>
  <si>
    <t>./image/46361463.jpg</t>
  </si>
  <si>
    <t>传祺GA4 2018款 150N 手动精英版</t>
  </si>
  <si>
    <t>3.73万公里</t>
  </si>
  <si>
    <t>['ISOFIX儿童座椅接口', '转向辅助灯', '车内PM2.5过滤装置', '后排出风口']</t>
  </si>
  <si>
    <t>./image/47025929.jpg</t>
  </si>
  <si>
    <t>￥16.28万</t>
  </si>
  <si>
    <t>./image/47058700.jpg</t>
  </si>
  <si>
    <t>￥15.30万</t>
  </si>
  <si>
    <t>./image/46980664.jpg</t>
  </si>
  <si>
    <t>./image/47068359.jpg</t>
  </si>
  <si>
    <t>曲靖</t>
  </si>
  <si>
    <t>./image/47025936.jpg</t>
  </si>
  <si>
    <t>￥18.39万</t>
  </si>
  <si>
    <t>./image/47124095.jpg</t>
  </si>
  <si>
    <t>￥9.45万</t>
  </si>
  <si>
    <t>./image/47046603.jpg</t>
  </si>
  <si>
    <t>./image/46544840.jpg</t>
  </si>
  <si>
    <t>./image/47143179.jpg</t>
  </si>
  <si>
    <t>./image/47121018.jpg</t>
  </si>
  <si>
    <t>6.04万公里</t>
  </si>
  <si>
    <t>./image/45002311.jpg</t>
  </si>
  <si>
    <t>自贡</t>
  </si>
  <si>
    <t>./image/47055565.jpg</t>
  </si>
  <si>
    <t>./image/47027708.jpg</t>
  </si>
  <si>
    <t>传祺GS4 2018款 235T 手动两驱豪华百万纪念版</t>
  </si>
  <si>
    <t>￥5.97万</t>
  </si>
  <si>
    <t>3.46万公里</t>
  </si>
  <si>
    <t>许昌</t>
  </si>
  <si>
    <t>./image/47082389.jpg</t>
  </si>
  <si>
    <t>传祺M8 2021款 领秀系列 390T 尊贵福祉版</t>
  </si>
  <si>
    <t>￥25.98万</t>
  </si>
  <si>
    <t>./image/46186737.jpg</t>
  </si>
  <si>
    <t>￥16.16万</t>
  </si>
  <si>
    <t>./image/47131069.jpg</t>
  </si>
  <si>
    <t>./image/47102688.jpg</t>
  </si>
  <si>
    <t>./image/47064577.jpg</t>
  </si>
  <si>
    <t>./image/47034510.jpg</t>
  </si>
  <si>
    <t>./image/47032102.jpg</t>
  </si>
  <si>
    <t>./image/47109687.jpg</t>
  </si>
  <si>
    <t>./image/46757958.jpg</t>
  </si>
  <si>
    <t>￥7.40万</t>
  </si>
  <si>
    <t>./image/47125194.jpg</t>
  </si>
  <si>
    <t>./image/45493724.jpg</t>
  </si>
  <si>
    <t>2022-10-21</t>
  </si>
  <si>
    <t>./image/45588979.jpg</t>
  </si>
  <si>
    <t>./image/46865365.jpg</t>
  </si>
  <si>
    <t>./image/47121087.jpg</t>
  </si>
  <si>
    <t>./image/47016915.jpg</t>
  </si>
  <si>
    <t>传祺GA6 2015款 1.8T DCT豪华导航型</t>
  </si>
  <si>
    <t>./image/47122740.jpg</t>
  </si>
  <si>
    <t>./image/47121469.jpg</t>
  </si>
  <si>
    <t>./image/47048956.jpg</t>
  </si>
  <si>
    <t>./image/45498290.jpg</t>
  </si>
  <si>
    <t>./image/46171568.jpg</t>
  </si>
  <si>
    <t>传祺GA3 2014款 1.6L 自动精英智慧版</t>
  </si>
  <si>
    <t>￥2.80万</t>
  </si>
  <si>
    <t>衢州</t>
  </si>
  <si>
    <t>./image/45180414.jpg</t>
  </si>
  <si>
    <t>./image/47005016.jpg</t>
  </si>
  <si>
    <t>￥9.48万</t>
  </si>
  <si>
    <t>遵义</t>
  </si>
  <si>
    <t>./image/46681326.jpg</t>
  </si>
  <si>
    <t>吉安</t>
  </si>
  <si>
    <t>./image/46957259.jpg</t>
  </si>
  <si>
    <t>传祺GS4 2015款 200T 手动舒适版</t>
  </si>
  <si>
    <t>./image/46963491.jpg</t>
  </si>
  <si>
    <t>￥5.50万</t>
  </si>
  <si>
    <t>./image/46385862.jpg</t>
  </si>
  <si>
    <t>传祺M8 2020款 390T 尊享版</t>
  </si>
  <si>
    <t>./image/45113630.jpg</t>
  </si>
  <si>
    <t>./image/44595484.jpg</t>
  </si>
  <si>
    <t>./image/47125675.jpg</t>
  </si>
  <si>
    <t>./image/46757316.jpg</t>
  </si>
  <si>
    <t>./image/45666465.jpg</t>
  </si>
  <si>
    <t>￥14.58万</t>
  </si>
  <si>
    <t>./image/47120603.jpg</t>
  </si>
  <si>
    <t>./image/47001761.jpg</t>
  </si>
  <si>
    <t>传祺GA5 2011款 2.0L 手动精英版</t>
  </si>
  <si>
    <t>7.79万公里</t>
  </si>
  <si>
    <t>./image/46951161.jpg</t>
  </si>
  <si>
    <t>￥20.49万</t>
  </si>
  <si>
    <t>./image/47052761.jpg</t>
  </si>
  <si>
    <t>￥10.59万</t>
  </si>
  <si>
    <t>./image/47074007.jpg</t>
  </si>
  <si>
    <t>./image/47046488.jpg</t>
  </si>
  <si>
    <t>./image/47129966.jpg</t>
  </si>
  <si>
    <t>./image/44929078.jpg</t>
  </si>
  <si>
    <t>传祺GS4 PLUS 2021款 270T 自动星辰版</t>
  </si>
  <si>
    <t>./image/46994135.jpg</t>
  </si>
  <si>
    <t>2.62万公里</t>
  </si>
  <si>
    <t>./image/47109222.jpg</t>
  </si>
  <si>
    <t>￥21.99万</t>
  </si>
  <si>
    <t>./image/46957237.jpg</t>
  </si>
  <si>
    <t>￥12.98万</t>
  </si>
  <si>
    <t>济宁</t>
  </si>
  <si>
    <t>./image/47110114.jpg</t>
  </si>
  <si>
    <t>￥26.98万</t>
  </si>
  <si>
    <t>1.55万公里</t>
  </si>
  <si>
    <t>./image/47123402.jpg</t>
  </si>
  <si>
    <t>￥4.39万</t>
  </si>
  <si>
    <t>./image/47003829.jpg</t>
  </si>
  <si>
    <t>['胎压监测装置', '并线辅助', 'ISOFIX儿童座椅接口', '倒车影像', '全景摄像头', '自动驻车', '定速巡航', '电动后备厢', '感应后备厢', '无钥匙启动系统', '无钥匙进入系统', '方向盘换挡', '方向盘加热', '手机无线充电', '内置行车记录仪', '蓝牙/车载电话', '220V/230V电源', '转向辅助灯', '转向头灯', '自适应远近光', '防紫外线玻璃', '后排独立空调', '后排出风口', '自适应巡航']</t>
  </si>
  <si>
    <t>./image/47064979.jpg</t>
  </si>
  <si>
    <t>./image/46980771.jpg</t>
  </si>
  <si>
    <t>./image/47116521.jpg</t>
  </si>
  <si>
    <t>￥4.20万</t>
  </si>
  <si>
    <t>./image/46322398.jpg</t>
  </si>
  <si>
    <t>./image/47133135.jpg</t>
  </si>
  <si>
    <t>传祺GS4 2021款 270T 自动智联科技版</t>
  </si>
  <si>
    <t>￥8.78万</t>
  </si>
  <si>
    <t>./image/47121602.jpg</t>
  </si>
  <si>
    <t>张家口</t>
  </si>
  <si>
    <t>./image/47048518.jpg</t>
  </si>
  <si>
    <t>￥6.60万</t>
  </si>
  <si>
    <t>./image/46931919.jpg</t>
  </si>
  <si>
    <t>./image/47092830.jpg</t>
  </si>
  <si>
    <t>./image/47104493.jpg</t>
  </si>
  <si>
    <t>￥29.80万</t>
  </si>
  <si>
    <t>./image/47039497.jpg</t>
  </si>
  <si>
    <t>传祺GA3S视界 2014款 1.6L 手动精英版</t>
  </si>
  <si>
    <t>￥3.33万</t>
  </si>
  <si>
    <t>2021-09</t>
  </si>
  <si>
    <t>./image/41568780.jpg</t>
  </si>
  <si>
    <t>传祺GS8 2022款 领航系列 2.0TGDI 四驱豪华智联版（七座）</t>
  </si>
  <si>
    <t>1.85万公里</t>
  </si>
  <si>
    <t>./image/47087484.jpg</t>
  </si>
  <si>
    <t>￥18.35万</t>
  </si>
  <si>
    <t>./image/46864301.jpg</t>
  </si>
  <si>
    <t>￥6.51万</t>
  </si>
  <si>
    <t>2.85万公里</t>
  </si>
  <si>
    <t>./image/47094738.jpg</t>
  </si>
  <si>
    <t>./image/44274989.jpg</t>
  </si>
  <si>
    <t>￥17.51万</t>
  </si>
  <si>
    <t>./image/47058543.jpg</t>
  </si>
  <si>
    <t>传祺M6 2021款 PRO 270T 自动尊享版</t>
  </si>
  <si>
    <t>./image/47032704.jpg</t>
  </si>
  <si>
    <t>./image/47130835.jpg</t>
  </si>
  <si>
    <t>传祺GS4 PLUS 2021款 390T 自动星际版</t>
  </si>
  <si>
    <t>['并线辅助', '车道保持辅助系统', '车道偏离预警系统', '主动刹车/主动安全系统', 'ISOFIX儿童座椅接口', '自动驻车', '自动泊车入位', '电动后备厢', '感应后备厢', '无钥匙启动系统', '方向盘换挡', '全液晶仪表盘', '内置行车记录仪', '蓝牙/车载电话', '车联网', 'OTA升级', '自适应远近光', '车内PM2.5过滤装置', '车载空气净化器', '后排出风口']</t>
  </si>
  <si>
    <t>./image/45288620.jpg</t>
  </si>
  <si>
    <t>2022-5</t>
  </si>
  <si>
    <t>./image/43739266.jpg</t>
  </si>
  <si>
    <t>./image/46504890.jpg</t>
  </si>
  <si>
    <t>./image/47116906.jpg</t>
  </si>
  <si>
    <t>./image/47112863.jpg</t>
  </si>
  <si>
    <t>传祺GS8 2020款 390T 两驱豪华版（七座）</t>
  </si>
  <si>
    <t>￥12.28万</t>
  </si>
  <si>
    <t>./image/46771991.jpg</t>
  </si>
  <si>
    <t>./image/47085533.jpg</t>
  </si>
  <si>
    <t>传祺GS8 2022款 双擎系列 2.0TM 两驱尊贵版 （七座）</t>
  </si>
  <si>
    <t>./image/46789577.jpg</t>
  </si>
  <si>
    <t>./image/47011950.jpg</t>
  </si>
  <si>
    <t>./image/44469697.jpg</t>
  </si>
  <si>
    <t>./image/46958207.jpg</t>
  </si>
  <si>
    <t>./image/47028677.jpg</t>
  </si>
  <si>
    <t>./image/47108357.jpg</t>
  </si>
  <si>
    <t>￥2.38万</t>
  </si>
  <si>
    <t>14.7万公里</t>
  </si>
  <si>
    <t>2022-11-16</t>
  </si>
  <si>
    <t>肇庆</t>
  </si>
  <si>
    <t>./image/42839847.jpg</t>
  </si>
  <si>
    <t>￥1.88万</t>
  </si>
  <si>
    <t>16万公里</t>
  </si>
  <si>
    <t>安顺</t>
  </si>
  <si>
    <t>./image/46992189.jpg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</si>
</sst>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1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1" fillId="0" borderId="0" applyFont="0" applyFill="0" applyBorder="0" applyAlignment="0" applyProtection="0">
      <alignment vertical="center"/>
    </xf>
    <xf numFmtId="0" fontId="2" fillId="2" borderId="0" applyNumberFormat="0" applyBorder="0" applyAlignment="0" applyProtection="0">
      <alignment vertical="center"/>
    </xf>
    <xf numFmtId="0" fontId="3" fillId="3" borderId="1" applyNumberFormat="0" applyAlignment="0" applyProtection="0">
      <alignment vertical="center"/>
    </xf>
    <xf numFmtId="44" fontId="1" fillId="0" borderId="0" applyFont="0" applyFill="0" applyBorder="0" applyAlignment="0" applyProtection="0">
      <alignment vertical="center"/>
    </xf>
    <xf numFmtId="41" fontId="1" fillId="0" borderId="0" applyFont="0" applyFill="0" applyBorder="0" applyAlignment="0" applyProtection="0">
      <alignment vertical="center"/>
    </xf>
    <xf numFmtId="0" fontId="2" fillId="4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43" fontId="1" fillId="0" borderId="0" applyFont="0" applyFill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" fillId="7" borderId="2" applyNumberFormat="0" applyFont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3" fillId="0" borderId="3" applyNumberFormat="0" applyFill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8" fillId="0" borderId="4" applyNumberFormat="0" applyFill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14" fillId="11" borderId="5" applyNumberFormat="0" applyAlignment="0" applyProtection="0">
      <alignment vertical="center"/>
    </xf>
    <xf numFmtId="0" fontId="15" fillId="11" borderId="1" applyNumberFormat="0" applyAlignment="0" applyProtection="0">
      <alignment vertical="center"/>
    </xf>
    <xf numFmtId="0" fontId="16" fillId="12" borderId="6" applyNumberFormat="0" applyAlignment="0" applyProtection="0">
      <alignment vertical="center"/>
    </xf>
    <xf numFmtId="0" fontId="2" fillId="13" borderId="0" applyNumberFormat="0" applyBorder="0" applyAlignment="0" applyProtection="0">
      <alignment vertical="center"/>
    </xf>
    <xf numFmtId="0" fontId="5" fillId="14" borderId="0" applyNumberFormat="0" applyBorder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" fillId="17" borderId="0" applyNumberFormat="0" applyBorder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0" fontId="2" fillId="19" borderId="0" applyNumberFormat="0" applyBorder="0" applyAlignment="0" applyProtection="0">
      <alignment vertical="center"/>
    </xf>
    <xf numFmtId="0" fontId="2" fillId="20" borderId="0" applyNumberFormat="0" applyBorder="0" applyAlignment="0" applyProtection="0">
      <alignment vertical="center"/>
    </xf>
    <xf numFmtId="0" fontId="2" fillId="21" borderId="0" applyNumberFormat="0" applyBorder="0" applyAlignment="0" applyProtection="0">
      <alignment vertical="center"/>
    </xf>
    <xf numFmtId="0" fontId="2" fillId="22" borderId="0" applyNumberFormat="0" applyBorder="0" applyAlignment="0" applyProtection="0">
      <alignment vertical="center"/>
    </xf>
    <xf numFmtId="0" fontId="5" fillId="23" borderId="0" applyNumberFormat="0" applyBorder="0" applyAlignment="0" applyProtection="0">
      <alignment vertical="center"/>
    </xf>
    <xf numFmtId="0" fontId="5" fillId="24" borderId="0" applyNumberFormat="0" applyBorder="0" applyAlignment="0" applyProtection="0">
      <alignment vertical="center"/>
    </xf>
    <xf numFmtId="0" fontId="2" fillId="25" borderId="0" applyNumberFormat="0" applyBorder="0" applyAlignment="0" applyProtection="0">
      <alignment vertical="center"/>
    </xf>
    <xf numFmtId="0" fontId="2" fillId="26" borderId="0" applyNumberFormat="0" applyBorder="0" applyAlignment="0" applyProtection="0">
      <alignment vertical="center"/>
    </xf>
    <xf numFmtId="0" fontId="5" fillId="27" borderId="0" applyNumberFormat="0" applyBorder="0" applyAlignment="0" applyProtection="0">
      <alignment vertical="center"/>
    </xf>
    <xf numFmtId="0" fontId="2" fillId="28" borderId="0" applyNumberFormat="0" applyBorder="0" applyAlignment="0" applyProtection="0">
      <alignment vertical="center"/>
    </xf>
    <xf numFmtId="0" fontId="5" fillId="29" borderId="0" applyNumberFormat="0" applyBorder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2" fillId="31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</cellStyleXfs>
  <cellXfs count="2">
    <xf numFmtId="0" fontId="0" fillId="0" borderId="0" xfId="0" applyAlignment="1">
      <alignment vertical="center"/>
    </xf>
    <xf numFmtId="0" fontId="0" fillId="0" borderId="0" xfId="0" applyAlignment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jpeg"/><Relationship Id="rId98" Type="http://schemas.openxmlformats.org/officeDocument/2006/relationships/image" Target="media/image98.jpeg"/><Relationship Id="rId97" Type="http://schemas.openxmlformats.org/officeDocument/2006/relationships/image" Target="media/image97.jpeg"/><Relationship Id="rId96" Type="http://schemas.openxmlformats.org/officeDocument/2006/relationships/image" Target="media/image96.jpeg"/><Relationship Id="rId95" Type="http://schemas.openxmlformats.org/officeDocument/2006/relationships/image" Target="media/image95.jpeg"/><Relationship Id="rId94" Type="http://schemas.openxmlformats.org/officeDocument/2006/relationships/image" Target="media/image94.jpeg"/><Relationship Id="rId93" Type="http://schemas.openxmlformats.org/officeDocument/2006/relationships/image" Target="media/image93.jpeg"/><Relationship Id="rId92" Type="http://schemas.openxmlformats.org/officeDocument/2006/relationships/image" Target="media/image92.jpeg"/><Relationship Id="rId91" Type="http://schemas.openxmlformats.org/officeDocument/2006/relationships/image" Target="media/image91.jpeg"/><Relationship Id="rId90" Type="http://schemas.openxmlformats.org/officeDocument/2006/relationships/image" Target="media/image90.jpeg"/><Relationship Id="rId9" Type="http://schemas.openxmlformats.org/officeDocument/2006/relationships/image" Target="media/image9.jpeg"/><Relationship Id="rId89" Type="http://schemas.openxmlformats.org/officeDocument/2006/relationships/image" Target="media/image89.jpeg"/><Relationship Id="rId88" Type="http://schemas.openxmlformats.org/officeDocument/2006/relationships/image" Target="media/image88.jpeg"/><Relationship Id="rId878" Type="http://schemas.openxmlformats.org/officeDocument/2006/relationships/image" Target="media/image878.jpeg"/><Relationship Id="rId877" Type="http://schemas.openxmlformats.org/officeDocument/2006/relationships/image" Target="media/image877.jpeg"/><Relationship Id="rId876" Type="http://schemas.openxmlformats.org/officeDocument/2006/relationships/image" Target="media/image876.jpeg"/><Relationship Id="rId875" Type="http://schemas.openxmlformats.org/officeDocument/2006/relationships/image" Target="media/image875.jpeg"/><Relationship Id="rId874" Type="http://schemas.openxmlformats.org/officeDocument/2006/relationships/image" Target="media/image874.jpeg"/><Relationship Id="rId873" Type="http://schemas.openxmlformats.org/officeDocument/2006/relationships/image" Target="media/image873.jpeg"/><Relationship Id="rId872" Type="http://schemas.openxmlformats.org/officeDocument/2006/relationships/image" Target="media/image872.jpeg"/><Relationship Id="rId871" Type="http://schemas.openxmlformats.org/officeDocument/2006/relationships/image" Target="media/image871.jpeg"/><Relationship Id="rId870" Type="http://schemas.openxmlformats.org/officeDocument/2006/relationships/image" Target="media/image870.jpeg"/><Relationship Id="rId87" Type="http://schemas.openxmlformats.org/officeDocument/2006/relationships/image" Target="media/image87.jpeg"/><Relationship Id="rId869" Type="http://schemas.openxmlformats.org/officeDocument/2006/relationships/image" Target="media/image869.jpeg"/><Relationship Id="rId868" Type="http://schemas.openxmlformats.org/officeDocument/2006/relationships/image" Target="media/image868.jpeg"/><Relationship Id="rId867" Type="http://schemas.openxmlformats.org/officeDocument/2006/relationships/image" Target="media/image867.jpeg"/><Relationship Id="rId866" Type="http://schemas.openxmlformats.org/officeDocument/2006/relationships/image" Target="media/image866.jpeg"/><Relationship Id="rId865" Type="http://schemas.openxmlformats.org/officeDocument/2006/relationships/image" Target="media/image865.jpeg"/><Relationship Id="rId864" Type="http://schemas.openxmlformats.org/officeDocument/2006/relationships/image" Target="media/image864.jpeg"/><Relationship Id="rId863" Type="http://schemas.openxmlformats.org/officeDocument/2006/relationships/image" Target="media/image863.jpeg"/><Relationship Id="rId862" Type="http://schemas.openxmlformats.org/officeDocument/2006/relationships/image" Target="media/image862.jpeg"/><Relationship Id="rId861" Type="http://schemas.openxmlformats.org/officeDocument/2006/relationships/image" Target="media/image861.jpeg"/><Relationship Id="rId860" Type="http://schemas.openxmlformats.org/officeDocument/2006/relationships/image" Target="media/image860.jpeg"/><Relationship Id="rId86" Type="http://schemas.openxmlformats.org/officeDocument/2006/relationships/image" Target="media/image86.jpeg"/><Relationship Id="rId859" Type="http://schemas.openxmlformats.org/officeDocument/2006/relationships/image" Target="media/image859.jpeg"/><Relationship Id="rId858" Type="http://schemas.openxmlformats.org/officeDocument/2006/relationships/image" Target="media/image858.jpeg"/><Relationship Id="rId857" Type="http://schemas.openxmlformats.org/officeDocument/2006/relationships/image" Target="media/image857.jpeg"/><Relationship Id="rId856" Type="http://schemas.openxmlformats.org/officeDocument/2006/relationships/image" Target="media/image856.jpeg"/><Relationship Id="rId855" Type="http://schemas.openxmlformats.org/officeDocument/2006/relationships/image" Target="media/image855.jpeg"/><Relationship Id="rId854" Type="http://schemas.openxmlformats.org/officeDocument/2006/relationships/image" Target="media/image854.jpeg"/><Relationship Id="rId853" Type="http://schemas.openxmlformats.org/officeDocument/2006/relationships/image" Target="media/image853.jpeg"/><Relationship Id="rId852" Type="http://schemas.openxmlformats.org/officeDocument/2006/relationships/image" Target="media/image852.jpeg"/><Relationship Id="rId851" Type="http://schemas.openxmlformats.org/officeDocument/2006/relationships/image" Target="media/image851.jpeg"/><Relationship Id="rId850" Type="http://schemas.openxmlformats.org/officeDocument/2006/relationships/image" Target="media/image850.jpeg"/><Relationship Id="rId85" Type="http://schemas.openxmlformats.org/officeDocument/2006/relationships/image" Target="media/image85.jpeg"/><Relationship Id="rId849" Type="http://schemas.openxmlformats.org/officeDocument/2006/relationships/image" Target="media/image849.jpeg"/><Relationship Id="rId848" Type="http://schemas.openxmlformats.org/officeDocument/2006/relationships/image" Target="media/image848.jpeg"/><Relationship Id="rId847" Type="http://schemas.openxmlformats.org/officeDocument/2006/relationships/image" Target="media/image847.jpeg"/><Relationship Id="rId846" Type="http://schemas.openxmlformats.org/officeDocument/2006/relationships/image" Target="media/image846.jpeg"/><Relationship Id="rId845" Type="http://schemas.openxmlformats.org/officeDocument/2006/relationships/image" Target="media/image845.jpeg"/><Relationship Id="rId844" Type="http://schemas.openxmlformats.org/officeDocument/2006/relationships/image" Target="media/image844.jpeg"/><Relationship Id="rId843" Type="http://schemas.openxmlformats.org/officeDocument/2006/relationships/image" Target="media/image843.jpeg"/><Relationship Id="rId842" Type="http://schemas.openxmlformats.org/officeDocument/2006/relationships/image" Target="media/image842.jpeg"/><Relationship Id="rId841" Type="http://schemas.openxmlformats.org/officeDocument/2006/relationships/image" Target="media/image841.jpeg"/><Relationship Id="rId840" Type="http://schemas.openxmlformats.org/officeDocument/2006/relationships/image" Target="media/image840.jpeg"/><Relationship Id="rId84" Type="http://schemas.openxmlformats.org/officeDocument/2006/relationships/image" Target="media/image84.jpeg"/><Relationship Id="rId839" Type="http://schemas.openxmlformats.org/officeDocument/2006/relationships/image" Target="media/image839.jpeg"/><Relationship Id="rId838" Type="http://schemas.openxmlformats.org/officeDocument/2006/relationships/image" Target="media/image838.jpeg"/><Relationship Id="rId837" Type="http://schemas.openxmlformats.org/officeDocument/2006/relationships/image" Target="media/image837.jpeg"/><Relationship Id="rId836" Type="http://schemas.openxmlformats.org/officeDocument/2006/relationships/image" Target="media/image836.jpeg"/><Relationship Id="rId835" Type="http://schemas.openxmlformats.org/officeDocument/2006/relationships/image" Target="media/image835.jpeg"/><Relationship Id="rId834" Type="http://schemas.openxmlformats.org/officeDocument/2006/relationships/image" Target="media/image834.jpeg"/><Relationship Id="rId833" Type="http://schemas.openxmlformats.org/officeDocument/2006/relationships/image" Target="media/image833.jpeg"/><Relationship Id="rId832" Type="http://schemas.openxmlformats.org/officeDocument/2006/relationships/image" Target="media/image832.jpeg"/><Relationship Id="rId831" Type="http://schemas.openxmlformats.org/officeDocument/2006/relationships/image" Target="media/image831.jpeg"/><Relationship Id="rId830" Type="http://schemas.openxmlformats.org/officeDocument/2006/relationships/image" Target="media/image830.jpeg"/><Relationship Id="rId83" Type="http://schemas.openxmlformats.org/officeDocument/2006/relationships/image" Target="media/image83.jpeg"/><Relationship Id="rId829" Type="http://schemas.openxmlformats.org/officeDocument/2006/relationships/image" Target="media/image829.jpeg"/><Relationship Id="rId828" Type="http://schemas.openxmlformats.org/officeDocument/2006/relationships/image" Target="media/image828.jpeg"/><Relationship Id="rId827" Type="http://schemas.openxmlformats.org/officeDocument/2006/relationships/image" Target="media/image827.jpeg"/><Relationship Id="rId826" Type="http://schemas.openxmlformats.org/officeDocument/2006/relationships/image" Target="media/image826.jpeg"/><Relationship Id="rId825" Type="http://schemas.openxmlformats.org/officeDocument/2006/relationships/image" Target="media/image825.jpeg"/><Relationship Id="rId824" Type="http://schemas.openxmlformats.org/officeDocument/2006/relationships/image" Target="media/image824.jpeg"/><Relationship Id="rId823" Type="http://schemas.openxmlformats.org/officeDocument/2006/relationships/image" Target="media/image823.jpeg"/><Relationship Id="rId822" Type="http://schemas.openxmlformats.org/officeDocument/2006/relationships/image" Target="media/image822.jpeg"/><Relationship Id="rId821" Type="http://schemas.openxmlformats.org/officeDocument/2006/relationships/image" Target="media/image821.jpeg"/><Relationship Id="rId820" Type="http://schemas.openxmlformats.org/officeDocument/2006/relationships/image" Target="media/image820.jpeg"/><Relationship Id="rId82" Type="http://schemas.openxmlformats.org/officeDocument/2006/relationships/image" Target="media/image82.jpeg"/><Relationship Id="rId819" Type="http://schemas.openxmlformats.org/officeDocument/2006/relationships/image" Target="media/image819.jpeg"/><Relationship Id="rId818" Type="http://schemas.openxmlformats.org/officeDocument/2006/relationships/image" Target="media/image818.jpeg"/><Relationship Id="rId817" Type="http://schemas.openxmlformats.org/officeDocument/2006/relationships/image" Target="media/image817.jpeg"/><Relationship Id="rId816" Type="http://schemas.openxmlformats.org/officeDocument/2006/relationships/image" Target="media/image816.jpeg"/><Relationship Id="rId815" Type="http://schemas.openxmlformats.org/officeDocument/2006/relationships/image" Target="media/image815.jpeg"/><Relationship Id="rId814" Type="http://schemas.openxmlformats.org/officeDocument/2006/relationships/image" Target="media/image814.jpeg"/><Relationship Id="rId813" Type="http://schemas.openxmlformats.org/officeDocument/2006/relationships/image" Target="media/image813.jpeg"/><Relationship Id="rId812" Type="http://schemas.openxmlformats.org/officeDocument/2006/relationships/image" Target="media/image812.jpeg"/><Relationship Id="rId811" Type="http://schemas.openxmlformats.org/officeDocument/2006/relationships/image" Target="media/image811.jpeg"/><Relationship Id="rId810" Type="http://schemas.openxmlformats.org/officeDocument/2006/relationships/image" Target="media/image810.jpeg"/><Relationship Id="rId81" Type="http://schemas.openxmlformats.org/officeDocument/2006/relationships/image" Target="media/image81.jpeg"/><Relationship Id="rId809" Type="http://schemas.openxmlformats.org/officeDocument/2006/relationships/image" Target="media/image809.jpeg"/><Relationship Id="rId808" Type="http://schemas.openxmlformats.org/officeDocument/2006/relationships/image" Target="media/image808.jpeg"/><Relationship Id="rId807" Type="http://schemas.openxmlformats.org/officeDocument/2006/relationships/image" Target="media/image807.jpeg"/><Relationship Id="rId806" Type="http://schemas.openxmlformats.org/officeDocument/2006/relationships/image" Target="media/image806.jpeg"/><Relationship Id="rId805" Type="http://schemas.openxmlformats.org/officeDocument/2006/relationships/image" Target="media/image805.jpeg"/><Relationship Id="rId804" Type="http://schemas.openxmlformats.org/officeDocument/2006/relationships/image" Target="media/image804.jpeg"/><Relationship Id="rId803" Type="http://schemas.openxmlformats.org/officeDocument/2006/relationships/image" Target="media/image803.jpeg"/><Relationship Id="rId802" Type="http://schemas.openxmlformats.org/officeDocument/2006/relationships/image" Target="media/image802.jpeg"/><Relationship Id="rId801" Type="http://schemas.openxmlformats.org/officeDocument/2006/relationships/image" Target="media/image801.jpeg"/><Relationship Id="rId800" Type="http://schemas.openxmlformats.org/officeDocument/2006/relationships/image" Target="media/image800.jpeg"/><Relationship Id="rId80" Type="http://schemas.openxmlformats.org/officeDocument/2006/relationships/image" Target="media/image80.jpeg"/><Relationship Id="rId8" Type="http://schemas.openxmlformats.org/officeDocument/2006/relationships/image" Target="media/image8.jpeg"/><Relationship Id="rId799" Type="http://schemas.openxmlformats.org/officeDocument/2006/relationships/image" Target="media/image799.jpeg"/><Relationship Id="rId798" Type="http://schemas.openxmlformats.org/officeDocument/2006/relationships/image" Target="media/image798.jpeg"/><Relationship Id="rId797" Type="http://schemas.openxmlformats.org/officeDocument/2006/relationships/image" Target="media/image797.jpeg"/><Relationship Id="rId796" Type="http://schemas.openxmlformats.org/officeDocument/2006/relationships/image" Target="media/image796.jpeg"/><Relationship Id="rId795" Type="http://schemas.openxmlformats.org/officeDocument/2006/relationships/image" Target="media/image795.jpeg"/><Relationship Id="rId794" Type="http://schemas.openxmlformats.org/officeDocument/2006/relationships/image" Target="media/image794.jpeg"/><Relationship Id="rId793" Type="http://schemas.openxmlformats.org/officeDocument/2006/relationships/image" Target="media/image793.jpeg"/><Relationship Id="rId792" Type="http://schemas.openxmlformats.org/officeDocument/2006/relationships/image" Target="media/image792.jpeg"/><Relationship Id="rId791" Type="http://schemas.openxmlformats.org/officeDocument/2006/relationships/image" Target="media/image791.jpeg"/><Relationship Id="rId790" Type="http://schemas.openxmlformats.org/officeDocument/2006/relationships/image" Target="media/image790.jpeg"/><Relationship Id="rId79" Type="http://schemas.openxmlformats.org/officeDocument/2006/relationships/image" Target="media/image79.jpeg"/><Relationship Id="rId789" Type="http://schemas.openxmlformats.org/officeDocument/2006/relationships/image" Target="media/image789.jpeg"/><Relationship Id="rId788" Type="http://schemas.openxmlformats.org/officeDocument/2006/relationships/image" Target="media/image788.jpeg"/><Relationship Id="rId787" Type="http://schemas.openxmlformats.org/officeDocument/2006/relationships/image" Target="media/image787.jpeg"/><Relationship Id="rId786" Type="http://schemas.openxmlformats.org/officeDocument/2006/relationships/image" Target="media/image786.jpeg"/><Relationship Id="rId785" Type="http://schemas.openxmlformats.org/officeDocument/2006/relationships/image" Target="media/image785.jpeg"/><Relationship Id="rId784" Type="http://schemas.openxmlformats.org/officeDocument/2006/relationships/image" Target="media/image784.jpeg"/><Relationship Id="rId783" Type="http://schemas.openxmlformats.org/officeDocument/2006/relationships/image" Target="media/image783.jpeg"/><Relationship Id="rId782" Type="http://schemas.openxmlformats.org/officeDocument/2006/relationships/image" Target="media/image782.jpeg"/><Relationship Id="rId781" Type="http://schemas.openxmlformats.org/officeDocument/2006/relationships/image" Target="media/image781.jpeg"/><Relationship Id="rId780" Type="http://schemas.openxmlformats.org/officeDocument/2006/relationships/image" Target="media/image780.jpeg"/><Relationship Id="rId78" Type="http://schemas.openxmlformats.org/officeDocument/2006/relationships/image" Target="media/image78.jpeg"/><Relationship Id="rId779" Type="http://schemas.openxmlformats.org/officeDocument/2006/relationships/image" Target="media/image779.jpeg"/><Relationship Id="rId778" Type="http://schemas.openxmlformats.org/officeDocument/2006/relationships/image" Target="media/image778.jpeg"/><Relationship Id="rId777" Type="http://schemas.openxmlformats.org/officeDocument/2006/relationships/image" Target="media/image777.jpeg"/><Relationship Id="rId776" Type="http://schemas.openxmlformats.org/officeDocument/2006/relationships/image" Target="media/image776.jpeg"/><Relationship Id="rId775" Type="http://schemas.openxmlformats.org/officeDocument/2006/relationships/image" Target="media/image775.jpeg"/><Relationship Id="rId774" Type="http://schemas.openxmlformats.org/officeDocument/2006/relationships/image" Target="media/image774.jpeg"/><Relationship Id="rId773" Type="http://schemas.openxmlformats.org/officeDocument/2006/relationships/image" Target="media/image773.jpeg"/><Relationship Id="rId772" Type="http://schemas.openxmlformats.org/officeDocument/2006/relationships/image" Target="media/image772.jpeg"/><Relationship Id="rId771" Type="http://schemas.openxmlformats.org/officeDocument/2006/relationships/image" Target="media/image771.jpeg"/><Relationship Id="rId770" Type="http://schemas.openxmlformats.org/officeDocument/2006/relationships/image" Target="media/image770.jpeg"/><Relationship Id="rId77" Type="http://schemas.openxmlformats.org/officeDocument/2006/relationships/image" Target="media/image77.jpeg"/><Relationship Id="rId769" Type="http://schemas.openxmlformats.org/officeDocument/2006/relationships/image" Target="media/image769.jpeg"/><Relationship Id="rId768" Type="http://schemas.openxmlformats.org/officeDocument/2006/relationships/image" Target="media/image768.jpeg"/><Relationship Id="rId767" Type="http://schemas.openxmlformats.org/officeDocument/2006/relationships/image" Target="media/image767.jpeg"/><Relationship Id="rId766" Type="http://schemas.openxmlformats.org/officeDocument/2006/relationships/image" Target="media/image766.jpeg"/><Relationship Id="rId765" Type="http://schemas.openxmlformats.org/officeDocument/2006/relationships/image" Target="media/image765.jpeg"/><Relationship Id="rId764" Type="http://schemas.openxmlformats.org/officeDocument/2006/relationships/image" Target="media/image764.jpeg"/><Relationship Id="rId763" Type="http://schemas.openxmlformats.org/officeDocument/2006/relationships/image" Target="media/image763.jpeg"/><Relationship Id="rId762" Type="http://schemas.openxmlformats.org/officeDocument/2006/relationships/image" Target="media/image762.jpeg"/><Relationship Id="rId761" Type="http://schemas.openxmlformats.org/officeDocument/2006/relationships/image" Target="media/image761.jpeg"/><Relationship Id="rId760" Type="http://schemas.openxmlformats.org/officeDocument/2006/relationships/image" Target="media/image760.jpeg"/><Relationship Id="rId76" Type="http://schemas.openxmlformats.org/officeDocument/2006/relationships/image" Target="media/image76.jpeg"/><Relationship Id="rId759" Type="http://schemas.openxmlformats.org/officeDocument/2006/relationships/image" Target="media/image759.jpeg"/><Relationship Id="rId758" Type="http://schemas.openxmlformats.org/officeDocument/2006/relationships/image" Target="media/image758.jpeg"/><Relationship Id="rId757" Type="http://schemas.openxmlformats.org/officeDocument/2006/relationships/image" Target="media/image757.jpeg"/><Relationship Id="rId756" Type="http://schemas.openxmlformats.org/officeDocument/2006/relationships/image" Target="media/image756.jpeg"/><Relationship Id="rId755" Type="http://schemas.openxmlformats.org/officeDocument/2006/relationships/image" Target="media/image755.jpeg"/><Relationship Id="rId754" Type="http://schemas.openxmlformats.org/officeDocument/2006/relationships/image" Target="media/image754.jpeg"/><Relationship Id="rId753" Type="http://schemas.openxmlformats.org/officeDocument/2006/relationships/image" Target="media/image753.jpeg"/><Relationship Id="rId752" Type="http://schemas.openxmlformats.org/officeDocument/2006/relationships/image" Target="media/image752.jpeg"/><Relationship Id="rId751" Type="http://schemas.openxmlformats.org/officeDocument/2006/relationships/image" Target="media/image751.jpeg"/><Relationship Id="rId750" Type="http://schemas.openxmlformats.org/officeDocument/2006/relationships/image" Target="media/image750.jpeg"/><Relationship Id="rId75" Type="http://schemas.openxmlformats.org/officeDocument/2006/relationships/image" Target="media/image75.jpeg"/><Relationship Id="rId749" Type="http://schemas.openxmlformats.org/officeDocument/2006/relationships/image" Target="media/image749.jpeg"/><Relationship Id="rId748" Type="http://schemas.openxmlformats.org/officeDocument/2006/relationships/image" Target="media/image748.jpeg"/><Relationship Id="rId747" Type="http://schemas.openxmlformats.org/officeDocument/2006/relationships/image" Target="media/image747.jpeg"/><Relationship Id="rId746" Type="http://schemas.openxmlformats.org/officeDocument/2006/relationships/image" Target="media/image746.jpeg"/><Relationship Id="rId745" Type="http://schemas.openxmlformats.org/officeDocument/2006/relationships/image" Target="media/image745.jpeg"/><Relationship Id="rId744" Type="http://schemas.openxmlformats.org/officeDocument/2006/relationships/image" Target="media/image744.jpeg"/><Relationship Id="rId743" Type="http://schemas.openxmlformats.org/officeDocument/2006/relationships/image" Target="media/image743.jpeg"/><Relationship Id="rId742" Type="http://schemas.openxmlformats.org/officeDocument/2006/relationships/image" Target="media/image742.jpeg"/><Relationship Id="rId741" Type="http://schemas.openxmlformats.org/officeDocument/2006/relationships/image" Target="media/image741.jpeg"/><Relationship Id="rId740" Type="http://schemas.openxmlformats.org/officeDocument/2006/relationships/image" Target="media/image740.jpeg"/><Relationship Id="rId74" Type="http://schemas.openxmlformats.org/officeDocument/2006/relationships/image" Target="media/image74.jpeg"/><Relationship Id="rId739" Type="http://schemas.openxmlformats.org/officeDocument/2006/relationships/image" Target="media/image739.jpeg"/><Relationship Id="rId738" Type="http://schemas.openxmlformats.org/officeDocument/2006/relationships/image" Target="media/image738.jpeg"/><Relationship Id="rId737" Type="http://schemas.openxmlformats.org/officeDocument/2006/relationships/image" Target="media/image737.jpeg"/><Relationship Id="rId736" Type="http://schemas.openxmlformats.org/officeDocument/2006/relationships/image" Target="media/image736.jpeg"/><Relationship Id="rId735" Type="http://schemas.openxmlformats.org/officeDocument/2006/relationships/image" Target="media/image735.jpeg"/><Relationship Id="rId734" Type="http://schemas.openxmlformats.org/officeDocument/2006/relationships/image" Target="media/image734.jpeg"/><Relationship Id="rId733" Type="http://schemas.openxmlformats.org/officeDocument/2006/relationships/image" Target="media/image733.jpeg"/><Relationship Id="rId732" Type="http://schemas.openxmlformats.org/officeDocument/2006/relationships/image" Target="media/image732.jpeg"/><Relationship Id="rId731" Type="http://schemas.openxmlformats.org/officeDocument/2006/relationships/image" Target="media/image731.jpeg"/><Relationship Id="rId730" Type="http://schemas.openxmlformats.org/officeDocument/2006/relationships/image" Target="media/image730.jpeg"/><Relationship Id="rId73" Type="http://schemas.openxmlformats.org/officeDocument/2006/relationships/image" Target="media/image73.jpeg"/><Relationship Id="rId729" Type="http://schemas.openxmlformats.org/officeDocument/2006/relationships/image" Target="media/image729.jpeg"/><Relationship Id="rId728" Type="http://schemas.openxmlformats.org/officeDocument/2006/relationships/image" Target="media/image728.jpeg"/><Relationship Id="rId727" Type="http://schemas.openxmlformats.org/officeDocument/2006/relationships/image" Target="media/image727.jpeg"/><Relationship Id="rId726" Type="http://schemas.openxmlformats.org/officeDocument/2006/relationships/image" Target="media/image726.jpeg"/><Relationship Id="rId725" Type="http://schemas.openxmlformats.org/officeDocument/2006/relationships/image" Target="media/image725.jpeg"/><Relationship Id="rId724" Type="http://schemas.openxmlformats.org/officeDocument/2006/relationships/image" Target="media/image724.jpeg"/><Relationship Id="rId723" Type="http://schemas.openxmlformats.org/officeDocument/2006/relationships/image" Target="media/image723.jpeg"/><Relationship Id="rId722" Type="http://schemas.openxmlformats.org/officeDocument/2006/relationships/image" Target="media/image722.jpeg"/><Relationship Id="rId721" Type="http://schemas.openxmlformats.org/officeDocument/2006/relationships/image" Target="media/image721.jpeg"/><Relationship Id="rId720" Type="http://schemas.openxmlformats.org/officeDocument/2006/relationships/image" Target="media/image720.jpeg"/><Relationship Id="rId72" Type="http://schemas.openxmlformats.org/officeDocument/2006/relationships/image" Target="media/image72.jpeg"/><Relationship Id="rId719" Type="http://schemas.openxmlformats.org/officeDocument/2006/relationships/image" Target="media/image719.jpeg"/><Relationship Id="rId718" Type="http://schemas.openxmlformats.org/officeDocument/2006/relationships/image" Target="media/image718.jpeg"/><Relationship Id="rId717" Type="http://schemas.openxmlformats.org/officeDocument/2006/relationships/image" Target="media/image717.jpeg"/><Relationship Id="rId716" Type="http://schemas.openxmlformats.org/officeDocument/2006/relationships/image" Target="media/image716.jpeg"/><Relationship Id="rId715" Type="http://schemas.openxmlformats.org/officeDocument/2006/relationships/image" Target="media/image715.jpeg"/><Relationship Id="rId714" Type="http://schemas.openxmlformats.org/officeDocument/2006/relationships/image" Target="media/image714.jpeg"/><Relationship Id="rId713" Type="http://schemas.openxmlformats.org/officeDocument/2006/relationships/image" Target="media/image713.jpeg"/><Relationship Id="rId712" Type="http://schemas.openxmlformats.org/officeDocument/2006/relationships/image" Target="media/image712.jpeg"/><Relationship Id="rId711" Type="http://schemas.openxmlformats.org/officeDocument/2006/relationships/image" Target="media/image711.jpeg"/><Relationship Id="rId710" Type="http://schemas.openxmlformats.org/officeDocument/2006/relationships/image" Target="media/image710.jpeg"/><Relationship Id="rId71" Type="http://schemas.openxmlformats.org/officeDocument/2006/relationships/image" Target="media/image71.jpeg"/><Relationship Id="rId709" Type="http://schemas.openxmlformats.org/officeDocument/2006/relationships/image" Target="media/image709.jpeg"/><Relationship Id="rId708" Type="http://schemas.openxmlformats.org/officeDocument/2006/relationships/image" Target="media/image708.jpeg"/><Relationship Id="rId707" Type="http://schemas.openxmlformats.org/officeDocument/2006/relationships/image" Target="media/image707.jpeg"/><Relationship Id="rId706" Type="http://schemas.openxmlformats.org/officeDocument/2006/relationships/image" Target="media/image706.jpeg"/><Relationship Id="rId705" Type="http://schemas.openxmlformats.org/officeDocument/2006/relationships/image" Target="media/image705.jpeg"/><Relationship Id="rId704" Type="http://schemas.openxmlformats.org/officeDocument/2006/relationships/image" Target="media/image704.jpeg"/><Relationship Id="rId703" Type="http://schemas.openxmlformats.org/officeDocument/2006/relationships/image" Target="media/image703.jpeg"/><Relationship Id="rId702" Type="http://schemas.openxmlformats.org/officeDocument/2006/relationships/image" Target="media/image702.jpeg"/><Relationship Id="rId701" Type="http://schemas.openxmlformats.org/officeDocument/2006/relationships/image" Target="media/image701.jpeg"/><Relationship Id="rId700" Type="http://schemas.openxmlformats.org/officeDocument/2006/relationships/image" Target="media/image700.jpeg"/><Relationship Id="rId70" Type="http://schemas.openxmlformats.org/officeDocument/2006/relationships/image" Target="media/image70.jpeg"/><Relationship Id="rId7" Type="http://schemas.openxmlformats.org/officeDocument/2006/relationships/image" Target="media/image7.jpeg"/><Relationship Id="rId699" Type="http://schemas.openxmlformats.org/officeDocument/2006/relationships/image" Target="media/image699.jpeg"/><Relationship Id="rId698" Type="http://schemas.openxmlformats.org/officeDocument/2006/relationships/image" Target="media/image698.jpeg"/><Relationship Id="rId697" Type="http://schemas.openxmlformats.org/officeDocument/2006/relationships/image" Target="media/image697.jpeg"/><Relationship Id="rId696" Type="http://schemas.openxmlformats.org/officeDocument/2006/relationships/image" Target="media/image696.jpeg"/><Relationship Id="rId695" Type="http://schemas.openxmlformats.org/officeDocument/2006/relationships/image" Target="media/image695.jpeg"/><Relationship Id="rId694" Type="http://schemas.openxmlformats.org/officeDocument/2006/relationships/image" Target="media/image694.jpeg"/><Relationship Id="rId693" Type="http://schemas.openxmlformats.org/officeDocument/2006/relationships/image" Target="media/image693.jpeg"/><Relationship Id="rId692" Type="http://schemas.openxmlformats.org/officeDocument/2006/relationships/image" Target="media/image692.jpeg"/><Relationship Id="rId691" Type="http://schemas.openxmlformats.org/officeDocument/2006/relationships/image" Target="media/image691.jpeg"/><Relationship Id="rId690" Type="http://schemas.openxmlformats.org/officeDocument/2006/relationships/image" Target="media/image690.jpeg"/><Relationship Id="rId69" Type="http://schemas.openxmlformats.org/officeDocument/2006/relationships/image" Target="media/image69.jpeg"/><Relationship Id="rId689" Type="http://schemas.openxmlformats.org/officeDocument/2006/relationships/image" Target="media/image689.jpeg"/><Relationship Id="rId688" Type="http://schemas.openxmlformats.org/officeDocument/2006/relationships/image" Target="media/image688.jpeg"/><Relationship Id="rId687" Type="http://schemas.openxmlformats.org/officeDocument/2006/relationships/image" Target="media/image687.jpeg"/><Relationship Id="rId686" Type="http://schemas.openxmlformats.org/officeDocument/2006/relationships/image" Target="media/image686.jpeg"/><Relationship Id="rId685" Type="http://schemas.openxmlformats.org/officeDocument/2006/relationships/image" Target="media/image685.jpeg"/><Relationship Id="rId684" Type="http://schemas.openxmlformats.org/officeDocument/2006/relationships/image" Target="media/image684.jpeg"/><Relationship Id="rId683" Type="http://schemas.openxmlformats.org/officeDocument/2006/relationships/image" Target="media/image683.jpeg"/><Relationship Id="rId682" Type="http://schemas.openxmlformats.org/officeDocument/2006/relationships/image" Target="media/image682.jpeg"/><Relationship Id="rId681" Type="http://schemas.openxmlformats.org/officeDocument/2006/relationships/image" Target="media/image681.jpeg"/><Relationship Id="rId680" Type="http://schemas.openxmlformats.org/officeDocument/2006/relationships/image" Target="media/image680.jpeg"/><Relationship Id="rId68" Type="http://schemas.openxmlformats.org/officeDocument/2006/relationships/image" Target="media/image68.jpeg"/><Relationship Id="rId679" Type="http://schemas.openxmlformats.org/officeDocument/2006/relationships/image" Target="media/image679.jpeg"/><Relationship Id="rId678" Type="http://schemas.openxmlformats.org/officeDocument/2006/relationships/image" Target="media/image678.jpeg"/><Relationship Id="rId677" Type="http://schemas.openxmlformats.org/officeDocument/2006/relationships/image" Target="media/image677.jpeg"/><Relationship Id="rId676" Type="http://schemas.openxmlformats.org/officeDocument/2006/relationships/image" Target="media/image676.jpeg"/><Relationship Id="rId675" Type="http://schemas.openxmlformats.org/officeDocument/2006/relationships/image" Target="media/image675.jpeg"/><Relationship Id="rId674" Type="http://schemas.openxmlformats.org/officeDocument/2006/relationships/image" Target="media/image674.jpeg"/><Relationship Id="rId673" Type="http://schemas.openxmlformats.org/officeDocument/2006/relationships/image" Target="media/image673.jpeg"/><Relationship Id="rId672" Type="http://schemas.openxmlformats.org/officeDocument/2006/relationships/image" Target="media/image672.jpeg"/><Relationship Id="rId671" Type="http://schemas.openxmlformats.org/officeDocument/2006/relationships/image" Target="media/image671.jpeg"/><Relationship Id="rId670" Type="http://schemas.openxmlformats.org/officeDocument/2006/relationships/image" Target="media/image670.jpeg"/><Relationship Id="rId67" Type="http://schemas.openxmlformats.org/officeDocument/2006/relationships/image" Target="media/image67.jpeg"/><Relationship Id="rId669" Type="http://schemas.openxmlformats.org/officeDocument/2006/relationships/image" Target="media/image669.jpeg"/><Relationship Id="rId668" Type="http://schemas.openxmlformats.org/officeDocument/2006/relationships/image" Target="media/image668.jpeg"/><Relationship Id="rId667" Type="http://schemas.openxmlformats.org/officeDocument/2006/relationships/image" Target="media/image667.jpeg"/><Relationship Id="rId666" Type="http://schemas.openxmlformats.org/officeDocument/2006/relationships/image" Target="media/image666.jpeg"/><Relationship Id="rId665" Type="http://schemas.openxmlformats.org/officeDocument/2006/relationships/image" Target="media/image665.jpeg"/><Relationship Id="rId664" Type="http://schemas.openxmlformats.org/officeDocument/2006/relationships/image" Target="media/image664.jpeg"/><Relationship Id="rId663" Type="http://schemas.openxmlformats.org/officeDocument/2006/relationships/image" Target="media/image663.jpeg"/><Relationship Id="rId662" Type="http://schemas.openxmlformats.org/officeDocument/2006/relationships/image" Target="media/image662.jpeg"/><Relationship Id="rId661" Type="http://schemas.openxmlformats.org/officeDocument/2006/relationships/image" Target="media/image661.jpeg"/><Relationship Id="rId660" Type="http://schemas.openxmlformats.org/officeDocument/2006/relationships/image" Target="media/image660.jpeg"/><Relationship Id="rId66" Type="http://schemas.openxmlformats.org/officeDocument/2006/relationships/image" Target="media/image66.jpeg"/><Relationship Id="rId659" Type="http://schemas.openxmlformats.org/officeDocument/2006/relationships/image" Target="media/image659.jpeg"/><Relationship Id="rId658" Type="http://schemas.openxmlformats.org/officeDocument/2006/relationships/image" Target="media/image658.jpeg"/><Relationship Id="rId657" Type="http://schemas.openxmlformats.org/officeDocument/2006/relationships/image" Target="media/image657.jpeg"/><Relationship Id="rId656" Type="http://schemas.openxmlformats.org/officeDocument/2006/relationships/image" Target="media/image656.jpeg"/><Relationship Id="rId655" Type="http://schemas.openxmlformats.org/officeDocument/2006/relationships/image" Target="media/image655.jpeg"/><Relationship Id="rId654" Type="http://schemas.openxmlformats.org/officeDocument/2006/relationships/image" Target="media/image654.jpeg"/><Relationship Id="rId653" Type="http://schemas.openxmlformats.org/officeDocument/2006/relationships/image" Target="media/image653.jpeg"/><Relationship Id="rId652" Type="http://schemas.openxmlformats.org/officeDocument/2006/relationships/image" Target="media/image652.jpeg"/><Relationship Id="rId651" Type="http://schemas.openxmlformats.org/officeDocument/2006/relationships/image" Target="media/image651.jpeg"/><Relationship Id="rId650" Type="http://schemas.openxmlformats.org/officeDocument/2006/relationships/image" Target="media/image650.jpeg"/><Relationship Id="rId65" Type="http://schemas.openxmlformats.org/officeDocument/2006/relationships/image" Target="media/image65.jpeg"/><Relationship Id="rId649" Type="http://schemas.openxmlformats.org/officeDocument/2006/relationships/image" Target="media/image649.jpeg"/><Relationship Id="rId648" Type="http://schemas.openxmlformats.org/officeDocument/2006/relationships/image" Target="media/image648.jpeg"/><Relationship Id="rId647" Type="http://schemas.openxmlformats.org/officeDocument/2006/relationships/image" Target="media/image647.jpeg"/><Relationship Id="rId646" Type="http://schemas.openxmlformats.org/officeDocument/2006/relationships/image" Target="media/image646.jpeg"/><Relationship Id="rId645" Type="http://schemas.openxmlformats.org/officeDocument/2006/relationships/image" Target="media/image645.jpeg"/><Relationship Id="rId644" Type="http://schemas.openxmlformats.org/officeDocument/2006/relationships/image" Target="media/image644.jpeg"/><Relationship Id="rId643" Type="http://schemas.openxmlformats.org/officeDocument/2006/relationships/image" Target="media/image643.jpeg"/><Relationship Id="rId642" Type="http://schemas.openxmlformats.org/officeDocument/2006/relationships/image" Target="media/image642.jpeg"/><Relationship Id="rId641" Type="http://schemas.openxmlformats.org/officeDocument/2006/relationships/image" Target="media/image641.jpeg"/><Relationship Id="rId640" Type="http://schemas.openxmlformats.org/officeDocument/2006/relationships/image" Target="media/image640.jpeg"/><Relationship Id="rId64" Type="http://schemas.openxmlformats.org/officeDocument/2006/relationships/image" Target="media/image64.jpeg"/><Relationship Id="rId639" Type="http://schemas.openxmlformats.org/officeDocument/2006/relationships/image" Target="media/image639.jpeg"/><Relationship Id="rId638" Type="http://schemas.openxmlformats.org/officeDocument/2006/relationships/image" Target="media/image638.jpeg"/><Relationship Id="rId637" Type="http://schemas.openxmlformats.org/officeDocument/2006/relationships/image" Target="media/image637.jpeg"/><Relationship Id="rId636" Type="http://schemas.openxmlformats.org/officeDocument/2006/relationships/image" Target="media/image636.jpeg"/><Relationship Id="rId635" Type="http://schemas.openxmlformats.org/officeDocument/2006/relationships/image" Target="media/image635.jpeg"/><Relationship Id="rId634" Type="http://schemas.openxmlformats.org/officeDocument/2006/relationships/image" Target="media/image634.jpeg"/><Relationship Id="rId633" Type="http://schemas.openxmlformats.org/officeDocument/2006/relationships/image" Target="media/image633.jpeg"/><Relationship Id="rId632" Type="http://schemas.openxmlformats.org/officeDocument/2006/relationships/image" Target="media/image632.jpeg"/><Relationship Id="rId631" Type="http://schemas.openxmlformats.org/officeDocument/2006/relationships/image" Target="media/image631.jpeg"/><Relationship Id="rId630" Type="http://schemas.openxmlformats.org/officeDocument/2006/relationships/image" Target="media/image630.jpeg"/><Relationship Id="rId63" Type="http://schemas.openxmlformats.org/officeDocument/2006/relationships/image" Target="media/image63.jpeg"/><Relationship Id="rId629" Type="http://schemas.openxmlformats.org/officeDocument/2006/relationships/image" Target="media/image629.jpeg"/><Relationship Id="rId628" Type="http://schemas.openxmlformats.org/officeDocument/2006/relationships/image" Target="media/image628.jpeg"/><Relationship Id="rId627" Type="http://schemas.openxmlformats.org/officeDocument/2006/relationships/image" Target="media/image627.jpeg"/><Relationship Id="rId626" Type="http://schemas.openxmlformats.org/officeDocument/2006/relationships/image" Target="media/image626.jpeg"/><Relationship Id="rId625" Type="http://schemas.openxmlformats.org/officeDocument/2006/relationships/image" Target="media/image625.jpeg"/><Relationship Id="rId624" Type="http://schemas.openxmlformats.org/officeDocument/2006/relationships/image" Target="media/image624.jpeg"/><Relationship Id="rId623" Type="http://schemas.openxmlformats.org/officeDocument/2006/relationships/image" Target="media/image623.jpeg"/><Relationship Id="rId622" Type="http://schemas.openxmlformats.org/officeDocument/2006/relationships/image" Target="media/image622.jpeg"/><Relationship Id="rId621" Type="http://schemas.openxmlformats.org/officeDocument/2006/relationships/image" Target="media/image621.jpeg"/><Relationship Id="rId620" Type="http://schemas.openxmlformats.org/officeDocument/2006/relationships/image" Target="media/image620.jpeg"/><Relationship Id="rId62" Type="http://schemas.openxmlformats.org/officeDocument/2006/relationships/image" Target="media/image62.jpeg"/><Relationship Id="rId619" Type="http://schemas.openxmlformats.org/officeDocument/2006/relationships/image" Target="media/image619.jpeg"/><Relationship Id="rId618" Type="http://schemas.openxmlformats.org/officeDocument/2006/relationships/image" Target="media/image618.jpeg"/><Relationship Id="rId617" Type="http://schemas.openxmlformats.org/officeDocument/2006/relationships/image" Target="media/image617.jpeg"/><Relationship Id="rId616" Type="http://schemas.openxmlformats.org/officeDocument/2006/relationships/image" Target="media/image616.jpeg"/><Relationship Id="rId615" Type="http://schemas.openxmlformats.org/officeDocument/2006/relationships/image" Target="media/image615.jpeg"/><Relationship Id="rId614" Type="http://schemas.openxmlformats.org/officeDocument/2006/relationships/image" Target="media/image614.jpeg"/><Relationship Id="rId613" Type="http://schemas.openxmlformats.org/officeDocument/2006/relationships/image" Target="media/image613.jpeg"/><Relationship Id="rId612" Type="http://schemas.openxmlformats.org/officeDocument/2006/relationships/image" Target="media/image612.jpeg"/><Relationship Id="rId611" Type="http://schemas.openxmlformats.org/officeDocument/2006/relationships/image" Target="media/image611.jpeg"/><Relationship Id="rId610" Type="http://schemas.openxmlformats.org/officeDocument/2006/relationships/image" Target="media/image610.jpeg"/><Relationship Id="rId61" Type="http://schemas.openxmlformats.org/officeDocument/2006/relationships/image" Target="media/image61.jpeg"/><Relationship Id="rId609" Type="http://schemas.openxmlformats.org/officeDocument/2006/relationships/image" Target="media/image609.jpeg"/><Relationship Id="rId608" Type="http://schemas.openxmlformats.org/officeDocument/2006/relationships/image" Target="media/image608.jpeg"/><Relationship Id="rId607" Type="http://schemas.openxmlformats.org/officeDocument/2006/relationships/image" Target="media/image607.jpeg"/><Relationship Id="rId606" Type="http://schemas.openxmlformats.org/officeDocument/2006/relationships/image" Target="media/image606.jpeg"/><Relationship Id="rId605" Type="http://schemas.openxmlformats.org/officeDocument/2006/relationships/image" Target="media/image605.jpeg"/><Relationship Id="rId604" Type="http://schemas.openxmlformats.org/officeDocument/2006/relationships/image" Target="media/image604.jpeg"/><Relationship Id="rId603" Type="http://schemas.openxmlformats.org/officeDocument/2006/relationships/image" Target="media/image603.jpeg"/><Relationship Id="rId602" Type="http://schemas.openxmlformats.org/officeDocument/2006/relationships/image" Target="media/image602.jpeg"/><Relationship Id="rId601" Type="http://schemas.openxmlformats.org/officeDocument/2006/relationships/image" Target="media/image601.jpeg"/><Relationship Id="rId600" Type="http://schemas.openxmlformats.org/officeDocument/2006/relationships/image" Target="media/image600.jpeg"/><Relationship Id="rId60" Type="http://schemas.openxmlformats.org/officeDocument/2006/relationships/image" Target="media/image60.jpeg"/><Relationship Id="rId6" Type="http://schemas.openxmlformats.org/officeDocument/2006/relationships/image" Target="media/image6.jpeg"/><Relationship Id="rId599" Type="http://schemas.openxmlformats.org/officeDocument/2006/relationships/image" Target="media/image599.jpeg"/><Relationship Id="rId598" Type="http://schemas.openxmlformats.org/officeDocument/2006/relationships/image" Target="media/image598.jpeg"/><Relationship Id="rId597" Type="http://schemas.openxmlformats.org/officeDocument/2006/relationships/image" Target="media/image597.jpeg"/><Relationship Id="rId596" Type="http://schemas.openxmlformats.org/officeDocument/2006/relationships/image" Target="media/image596.jpeg"/><Relationship Id="rId595" Type="http://schemas.openxmlformats.org/officeDocument/2006/relationships/image" Target="media/image595.jpeg"/><Relationship Id="rId594" Type="http://schemas.openxmlformats.org/officeDocument/2006/relationships/image" Target="media/image594.jpeg"/><Relationship Id="rId593" Type="http://schemas.openxmlformats.org/officeDocument/2006/relationships/image" Target="media/image593.jpeg"/><Relationship Id="rId592" Type="http://schemas.openxmlformats.org/officeDocument/2006/relationships/image" Target="media/image592.jpeg"/><Relationship Id="rId591" Type="http://schemas.openxmlformats.org/officeDocument/2006/relationships/image" Target="media/image591.jpeg"/><Relationship Id="rId590" Type="http://schemas.openxmlformats.org/officeDocument/2006/relationships/image" Target="media/image590.jpeg"/><Relationship Id="rId59" Type="http://schemas.openxmlformats.org/officeDocument/2006/relationships/image" Target="media/image59.jpeg"/><Relationship Id="rId589" Type="http://schemas.openxmlformats.org/officeDocument/2006/relationships/image" Target="media/image589.jpeg"/><Relationship Id="rId588" Type="http://schemas.openxmlformats.org/officeDocument/2006/relationships/image" Target="media/image588.jpeg"/><Relationship Id="rId587" Type="http://schemas.openxmlformats.org/officeDocument/2006/relationships/image" Target="media/image587.jpeg"/><Relationship Id="rId586" Type="http://schemas.openxmlformats.org/officeDocument/2006/relationships/image" Target="media/image586.jpeg"/><Relationship Id="rId585" Type="http://schemas.openxmlformats.org/officeDocument/2006/relationships/image" Target="media/image585.jpeg"/><Relationship Id="rId584" Type="http://schemas.openxmlformats.org/officeDocument/2006/relationships/image" Target="media/image584.jpeg"/><Relationship Id="rId583" Type="http://schemas.openxmlformats.org/officeDocument/2006/relationships/image" Target="media/image583.jpeg"/><Relationship Id="rId582" Type="http://schemas.openxmlformats.org/officeDocument/2006/relationships/image" Target="media/image582.jpeg"/><Relationship Id="rId581" Type="http://schemas.openxmlformats.org/officeDocument/2006/relationships/image" Target="media/image581.jpeg"/><Relationship Id="rId580" Type="http://schemas.openxmlformats.org/officeDocument/2006/relationships/image" Target="media/image580.jpeg"/><Relationship Id="rId58" Type="http://schemas.openxmlformats.org/officeDocument/2006/relationships/image" Target="media/image58.jpeg"/><Relationship Id="rId579" Type="http://schemas.openxmlformats.org/officeDocument/2006/relationships/image" Target="media/image579.jpeg"/><Relationship Id="rId578" Type="http://schemas.openxmlformats.org/officeDocument/2006/relationships/image" Target="media/image578.jpeg"/><Relationship Id="rId577" Type="http://schemas.openxmlformats.org/officeDocument/2006/relationships/image" Target="media/image577.jpeg"/><Relationship Id="rId576" Type="http://schemas.openxmlformats.org/officeDocument/2006/relationships/image" Target="media/image576.jpeg"/><Relationship Id="rId575" Type="http://schemas.openxmlformats.org/officeDocument/2006/relationships/image" Target="media/image575.jpeg"/><Relationship Id="rId574" Type="http://schemas.openxmlformats.org/officeDocument/2006/relationships/image" Target="media/image574.jpeg"/><Relationship Id="rId573" Type="http://schemas.openxmlformats.org/officeDocument/2006/relationships/image" Target="media/image573.jpeg"/><Relationship Id="rId572" Type="http://schemas.openxmlformats.org/officeDocument/2006/relationships/image" Target="media/image572.jpeg"/><Relationship Id="rId571" Type="http://schemas.openxmlformats.org/officeDocument/2006/relationships/image" Target="media/image571.jpeg"/><Relationship Id="rId570" Type="http://schemas.openxmlformats.org/officeDocument/2006/relationships/image" Target="media/image570.jpeg"/><Relationship Id="rId57" Type="http://schemas.openxmlformats.org/officeDocument/2006/relationships/image" Target="media/image57.jpeg"/><Relationship Id="rId569" Type="http://schemas.openxmlformats.org/officeDocument/2006/relationships/image" Target="media/image569.jpeg"/><Relationship Id="rId568" Type="http://schemas.openxmlformats.org/officeDocument/2006/relationships/image" Target="media/image568.jpeg"/><Relationship Id="rId567" Type="http://schemas.openxmlformats.org/officeDocument/2006/relationships/image" Target="media/image567.jpeg"/><Relationship Id="rId566" Type="http://schemas.openxmlformats.org/officeDocument/2006/relationships/image" Target="media/image566.jpeg"/><Relationship Id="rId565" Type="http://schemas.openxmlformats.org/officeDocument/2006/relationships/image" Target="media/image565.jpeg"/><Relationship Id="rId564" Type="http://schemas.openxmlformats.org/officeDocument/2006/relationships/image" Target="media/image564.jpeg"/><Relationship Id="rId563" Type="http://schemas.openxmlformats.org/officeDocument/2006/relationships/image" Target="media/image563.jpeg"/><Relationship Id="rId562" Type="http://schemas.openxmlformats.org/officeDocument/2006/relationships/image" Target="media/image562.jpeg"/><Relationship Id="rId561" Type="http://schemas.openxmlformats.org/officeDocument/2006/relationships/image" Target="media/image561.jpeg"/><Relationship Id="rId560" Type="http://schemas.openxmlformats.org/officeDocument/2006/relationships/image" Target="media/image560.jpeg"/><Relationship Id="rId56" Type="http://schemas.openxmlformats.org/officeDocument/2006/relationships/image" Target="media/image56.jpeg"/><Relationship Id="rId559" Type="http://schemas.openxmlformats.org/officeDocument/2006/relationships/image" Target="media/image559.jpeg"/><Relationship Id="rId558" Type="http://schemas.openxmlformats.org/officeDocument/2006/relationships/image" Target="media/image558.jpeg"/><Relationship Id="rId557" Type="http://schemas.openxmlformats.org/officeDocument/2006/relationships/image" Target="media/image557.jpeg"/><Relationship Id="rId556" Type="http://schemas.openxmlformats.org/officeDocument/2006/relationships/image" Target="media/image556.jpeg"/><Relationship Id="rId555" Type="http://schemas.openxmlformats.org/officeDocument/2006/relationships/image" Target="media/image555.jpeg"/><Relationship Id="rId554" Type="http://schemas.openxmlformats.org/officeDocument/2006/relationships/image" Target="media/image554.jpeg"/><Relationship Id="rId553" Type="http://schemas.openxmlformats.org/officeDocument/2006/relationships/image" Target="media/image553.jpeg"/><Relationship Id="rId552" Type="http://schemas.openxmlformats.org/officeDocument/2006/relationships/image" Target="media/image552.jpeg"/><Relationship Id="rId551" Type="http://schemas.openxmlformats.org/officeDocument/2006/relationships/image" Target="media/image551.jpeg"/><Relationship Id="rId550" Type="http://schemas.openxmlformats.org/officeDocument/2006/relationships/image" Target="media/image550.jpeg"/><Relationship Id="rId55" Type="http://schemas.openxmlformats.org/officeDocument/2006/relationships/image" Target="media/image55.jpeg"/><Relationship Id="rId549" Type="http://schemas.openxmlformats.org/officeDocument/2006/relationships/image" Target="media/image549.jpeg"/><Relationship Id="rId548" Type="http://schemas.openxmlformats.org/officeDocument/2006/relationships/image" Target="media/image548.jpeg"/><Relationship Id="rId547" Type="http://schemas.openxmlformats.org/officeDocument/2006/relationships/image" Target="media/image547.jpeg"/><Relationship Id="rId546" Type="http://schemas.openxmlformats.org/officeDocument/2006/relationships/image" Target="media/image546.jpeg"/><Relationship Id="rId545" Type="http://schemas.openxmlformats.org/officeDocument/2006/relationships/image" Target="media/image545.jpeg"/><Relationship Id="rId544" Type="http://schemas.openxmlformats.org/officeDocument/2006/relationships/image" Target="media/image544.jpeg"/><Relationship Id="rId543" Type="http://schemas.openxmlformats.org/officeDocument/2006/relationships/image" Target="media/image543.jpeg"/><Relationship Id="rId542" Type="http://schemas.openxmlformats.org/officeDocument/2006/relationships/image" Target="media/image542.jpeg"/><Relationship Id="rId541" Type="http://schemas.openxmlformats.org/officeDocument/2006/relationships/image" Target="media/image541.jpeg"/><Relationship Id="rId540" Type="http://schemas.openxmlformats.org/officeDocument/2006/relationships/image" Target="media/image540.jpeg"/><Relationship Id="rId54" Type="http://schemas.openxmlformats.org/officeDocument/2006/relationships/image" Target="media/image54.jpeg"/><Relationship Id="rId539" Type="http://schemas.openxmlformats.org/officeDocument/2006/relationships/image" Target="media/image539.jpeg"/><Relationship Id="rId538" Type="http://schemas.openxmlformats.org/officeDocument/2006/relationships/image" Target="media/image538.jpeg"/><Relationship Id="rId537" Type="http://schemas.openxmlformats.org/officeDocument/2006/relationships/image" Target="media/image537.jpeg"/><Relationship Id="rId536" Type="http://schemas.openxmlformats.org/officeDocument/2006/relationships/image" Target="media/image536.jpeg"/><Relationship Id="rId535" Type="http://schemas.openxmlformats.org/officeDocument/2006/relationships/image" Target="media/image535.jpeg"/><Relationship Id="rId534" Type="http://schemas.openxmlformats.org/officeDocument/2006/relationships/image" Target="media/image534.jpeg"/><Relationship Id="rId533" Type="http://schemas.openxmlformats.org/officeDocument/2006/relationships/image" Target="media/image533.jpeg"/><Relationship Id="rId532" Type="http://schemas.openxmlformats.org/officeDocument/2006/relationships/image" Target="media/image532.jpeg"/><Relationship Id="rId531" Type="http://schemas.openxmlformats.org/officeDocument/2006/relationships/image" Target="media/image531.jpeg"/><Relationship Id="rId530" Type="http://schemas.openxmlformats.org/officeDocument/2006/relationships/image" Target="media/image530.jpeg"/><Relationship Id="rId53" Type="http://schemas.openxmlformats.org/officeDocument/2006/relationships/image" Target="media/image53.jpeg"/><Relationship Id="rId529" Type="http://schemas.openxmlformats.org/officeDocument/2006/relationships/image" Target="media/image529.jpeg"/><Relationship Id="rId528" Type="http://schemas.openxmlformats.org/officeDocument/2006/relationships/image" Target="media/image528.jpeg"/><Relationship Id="rId527" Type="http://schemas.openxmlformats.org/officeDocument/2006/relationships/image" Target="media/image527.jpeg"/><Relationship Id="rId526" Type="http://schemas.openxmlformats.org/officeDocument/2006/relationships/image" Target="media/image526.jpeg"/><Relationship Id="rId525" Type="http://schemas.openxmlformats.org/officeDocument/2006/relationships/image" Target="media/image525.jpeg"/><Relationship Id="rId524" Type="http://schemas.openxmlformats.org/officeDocument/2006/relationships/image" Target="media/image524.jpeg"/><Relationship Id="rId523" Type="http://schemas.openxmlformats.org/officeDocument/2006/relationships/image" Target="media/image523.jpeg"/><Relationship Id="rId522" Type="http://schemas.openxmlformats.org/officeDocument/2006/relationships/image" Target="media/image522.jpeg"/><Relationship Id="rId521" Type="http://schemas.openxmlformats.org/officeDocument/2006/relationships/image" Target="media/image521.jpeg"/><Relationship Id="rId520" Type="http://schemas.openxmlformats.org/officeDocument/2006/relationships/image" Target="media/image520.jpeg"/><Relationship Id="rId52" Type="http://schemas.openxmlformats.org/officeDocument/2006/relationships/image" Target="media/image52.jpeg"/><Relationship Id="rId519" Type="http://schemas.openxmlformats.org/officeDocument/2006/relationships/image" Target="media/image519.jpeg"/><Relationship Id="rId518" Type="http://schemas.openxmlformats.org/officeDocument/2006/relationships/image" Target="media/image518.jpeg"/><Relationship Id="rId517" Type="http://schemas.openxmlformats.org/officeDocument/2006/relationships/image" Target="media/image517.jpeg"/><Relationship Id="rId516" Type="http://schemas.openxmlformats.org/officeDocument/2006/relationships/image" Target="media/image516.jpeg"/><Relationship Id="rId515" Type="http://schemas.openxmlformats.org/officeDocument/2006/relationships/image" Target="media/image515.jpeg"/><Relationship Id="rId514" Type="http://schemas.openxmlformats.org/officeDocument/2006/relationships/image" Target="media/image514.jpeg"/><Relationship Id="rId513" Type="http://schemas.openxmlformats.org/officeDocument/2006/relationships/image" Target="media/image513.jpeg"/><Relationship Id="rId512" Type="http://schemas.openxmlformats.org/officeDocument/2006/relationships/image" Target="media/image512.jpeg"/><Relationship Id="rId511" Type="http://schemas.openxmlformats.org/officeDocument/2006/relationships/image" Target="media/image511.jpeg"/><Relationship Id="rId510" Type="http://schemas.openxmlformats.org/officeDocument/2006/relationships/image" Target="media/image510.jpeg"/><Relationship Id="rId51" Type="http://schemas.openxmlformats.org/officeDocument/2006/relationships/image" Target="media/image51.jpeg"/><Relationship Id="rId509" Type="http://schemas.openxmlformats.org/officeDocument/2006/relationships/image" Target="media/image509.jpeg"/><Relationship Id="rId508" Type="http://schemas.openxmlformats.org/officeDocument/2006/relationships/image" Target="media/image508.jpeg"/><Relationship Id="rId507" Type="http://schemas.openxmlformats.org/officeDocument/2006/relationships/image" Target="media/image507.jpeg"/><Relationship Id="rId506" Type="http://schemas.openxmlformats.org/officeDocument/2006/relationships/image" Target="media/image506.jpeg"/><Relationship Id="rId505" Type="http://schemas.openxmlformats.org/officeDocument/2006/relationships/image" Target="media/image505.jpeg"/><Relationship Id="rId504" Type="http://schemas.openxmlformats.org/officeDocument/2006/relationships/image" Target="media/image504.jpeg"/><Relationship Id="rId503" Type="http://schemas.openxmlformats.org/officeDocument/2006/relationships/image" Target="media/image503.jpeg"/><Relationship Id="rId502" Type="http://schemas.openxmlformats.org/officeDocument/2006/relationships/image" Target="media/image502.jpeg"/><Relationship Id="rId501" Type="http://schemas.openxmlformats.org/officeDocument/2006/relationships/image" Target="media/image501.jpeg"/><Relationship Id="rId500" Type="http://schemas.openxmlformats.org/officeDocument/2006/relationships/image" Target="media/image500.jpeg"/><Relationship Id="rId50" Type="http://schemas.openxmlformats.org/officeDocument/2006/relationships/image" Target="media/image50.jpeg"/><Relationship Id="rId5" Type="http://schemas.openxmlformats.org/officeDocument/2006/relationships/image" Target="media/image5.jpeg"/><Relationship Id="rId499" Type="http://schemas.openxmlformats.org/officeDocument/2006/relationships/image" Target="media/image499.jpeg"/><Relationship Id="rId498" Type="http://schemas.openxmlformats.org/officeDocument/2006/relationships/image" Target="media/image498.jpeg"/><Relationship Id="rId497" Type="http://schemas.openxmlformats.org/officeDocument/2006/relationships/image" Target="media/image497.jpeg"/><Relationship Id="rId496" Type="http://schemas.openxmlformats.org/officeDocument/2006/relationships/image" Target="media/image496.jpeg"/><Relationship Id="rId495" Type="http://schemas.openxmlformats.org/officeDocument/2006/relationships/image" Target="media/image495.jpeg"/><Relationship Id="rId494" Type="http://schemas.openxmlformats.org/officeDocument/2006/relationships/image" Target="media/image494.jpeg"/><Relationship Id="rId493" Type="http://schemas.openxmlformats.org/officeDocument/2006/relationships/image" Target="media/image493.jpeg"/><Relationship Id="rId492" Type="http://schemas.openxmlformats.org/officeDocument/2006/relationships/image" Target="media/image492.jpeg"/><Relationship Id="rId491" Type="http://schemas.openxmlformats.org/officeDocument/2006/relationships/image" Target="media/image491.jpeg"/><Relationship Id="rId490" Type="http://schemas.openxmlformats.org/officeDocument/2006/relationships/image" Target="media/image490.jpeg"/><Relationship Id="rId49" Type="http://schemas.openxmlformats.org/officeDocument/2006/relationships/image" Target="media/image49.jpeg"/><Relationship Id="rId489" Type="http://schemas.openxmlformats.org/officeDocument/2006/relationships/image" Target="media/image489.jpeg"/><Relationship Id="rId488" Type="http://schemas.openxmlformats.org/officeDocument/2006/relationships/image" Target="media/image488.jpeg"/><Relationship Id="rId487" Type="http://schemas.openxmlformats.org/officeDocument/2006/relationships/image" Target="media/image487.jpeg"/><Relationship Id="rId486" Type="http://schemas.openxmlformats.org/officeDocument/2006/relationships/image" Target="media/image486.jpeg"/><Relationship Id="rId485" Type="http://schemas.openxmlformats.org/officeDocument/2006/relationships/image" Target="media/image485.jpeg"/><Relationship Id="rId484" Type="http://schemas.openxmlformats.org/officeDocument/2006/relationships/image" Target="media/image484.jpeg"/><Relationship Id="rId483" Type="http://schemas.openxmlformats.org/officeDocument/2006/relationships/image" Target="media/image483.jpeg"/><Relationship Id="rId482" Type="http://schemas.openxmlformats.org/officeDocument/2006/relationships/image" Target="media/image482.jpeg"/><Relationship Id="rId481" Type="http://schemas.openxmlformats.org/officeDocument/2006/relationships/image" Target="media/image481.jpeg"/><Relationship Id="rId480" Type="http://schemas.openxmlformats.org/officeDocument/2006/relationships/image" Target="media/image480.jpeg"/><Relationship Id="rId48" Type="http://schemas.openxmlformats.org/officeDocument/2006/relationships/image" Target="media/image48.jpeg"/><Relationship Id="rId479" Type="http://schemas.openxmlformats.org/officeDocument/2006/relationships/image" Target="media/image479.jpeg"/><Relationship Id="rId478" Type="http://schemas.openxmlformats.org/officeDocument/2006/relationships/image" Target="media/image478.jpeg"/><Relationship Id="rId477" Type="http://schemas.openxmlformats.org/officeDocument/2006/relationships/image" Target="media/image477.jpeg"/><Relationship Id="rId476" Type="http://schemas.openxmlformats.org/officeDocument/2006/relationships/image" Target="media/image476.jpeg"/><Relationship Id="rId475" Type="http://schemas.openxmlformats.org/officeDocument/2006/relationships/image" Target="media/image475.jpeg"/><Relationship Id="rId474" Type="http://schemas.openxmlformats.org/officeDocument/2006/relationships/image" Target="media/image474.jpeg"/><Relationship Id="rId473" Type="http://schemas.openxmlformats.org/officeDocument/2006/relationships/image" Target="media/image473.jpeg"/><Relationship Id="rId472" Type="http://schemas.openxmlformats.org/officeDocument/2006/relationships/image" Target="media/image472.jpeg"/><Relationship Id="rId471" Type="http://schemas.openxmlformats.org/officeDocument/2006/relationships/image" Target="media/image471.jpeg"/><Relationship Id="rId470" Type="http://schemas.openxmlformats.org/officeDocument/2006/relationships/image" Target="media/image470.jpeg"/><Relationship Id="rId47" Type="http://schemas.openxmlformats.org/officeDocument/2006/relationships/image" Target="media/image47.jpeg"/><Relationship Id="rId469" Type="http://schemas.openxmlformats.org/officeDocument/2006/relationships/image" Target="media/image469.jpeg"/><Relationship Id="rId468" Type="http://schemas.openxmlformats.org/officeDocument/2006/relationships/image" Target="media/image468.jpeg"/><Relationship Id="rId467" Type="http://schemas.openxmlformats.org/officeDocument/2006/relationships/image" Target="media/image467.jpeg"/><Relationship Id="rId466" Type="http://schemas.openxmlformats.org/officeDocument/2006/relationships/image" Target="media/image466.jpeg"/><Relationship Id="rId465" Type="http://schemas.openxmlformats.org/officeDocument/2006/relationships/image" Target="media/image465.jpeg"/><Relationship Id="rId464" Type="http://schemas.openxmlformats.org/officeDocument/2006/relationships/image" Target="media/image464.jpeg"/><Relationship Id="rId463" Type="http://schemas.openxmlformats.org/officeDocument/2006/relationships/image" Target="media/image463.jpeg"/><Relationship Id="rId462" Type="http://schemas.openxmlformats.org/officeDocument/2006/relationships/image" Target="media/image462.jpeg"/><Relationship Id="rId461" Type="http://schemas.openxmlformats.org/officeDocument/2006/relationships/image" Target="media/image461.jpeg"/><Relationship Id="rId460" Type="http://schemas.openxmlformats.org/officeDocument/2006/relationships/image" Target="media/image460.jpeg"/><Relationship Id="rId46" Type="http://schemas.openxmlformats.org/officeDocument/2006/relationships/image" Target="media/image46.jpeg"/><Relationship Id="rId459" Type="http://schemas.openxmlformats.org/officeDocument/2006/relationships/image" Target="media/image459.jpeg"/><Relationship Id="rId458" Type="http://schemas.openxmlformats.org/officeDocument/2006/relationships/image" Target="media/image458.jpeg"/><Relationship Id="rId457" Type="http://schemas.openxmlformats.org/officeDocument/2006/relationships/image" Target="media/image457.jpeg"/><Relationship Id="rId456" Type="http://schemas.openxmlformats.org/officeDocument/2006/relationships/image" Target="media/image456.jpeg"/><Relationship Id="rId455" Type="http://schemas.openxmlformats.org/officeDocument/2006/relationships/image" Target="media/image455.jpeg"/><Relationship Id="rId454" Type="http://schemas.openxmlformats.org/officeDocument/2006/relationships/image" Target="media/image454.jpeg"/><Relationship Id="rId453" Type="http://schemas.openxmlformats.org/officeDocument/2006/relationships/image" Target="media/image453.jpeg"/><Relationship Id="rId452" Type="http://schemas.openxmlformats.org/officeDocument/2006/relationships/image" Target="media/image452.jpeg"/><Relationship Id="rId451" Type="http://schemas.openxmlformats.org/officeDocument/2006/relationships/image" Target="media/image451.jpeg"/><Relationship Id="rId450" Type="http://schemas.openxmlformats.org/officeDocument/2006/relationships/image" Target="media/image450.jpeg"/><Relationship Id="rId45" Type="http://schemas.openxmlformats.org/officeDocument/2006/relationships/image" Target="media/image45.jpeg"/><Relationship Id="rId449" Type="http://schemas.openxmlformats.org/officeDocument/2006/relationships/image" Target="media/image449.jpeg"/><Relationship Id="rId448" Type="http://schemas.openxmlformats.org/officeDocument/2006/relationships/image" Target="media/image448.jpeg"/><Relationship Id="rId447" Type="http://schemas.openxmlformats.org/officeDocument/2006/relationships/image" Target="media/image447.jpeg"/><Relationship Id="rId446" Type="http://schemas.openxmlformats.org/officeDocument/2006/relationships/image" Target="media/image446.jpeg"/><Relationship Id="rId445" Type="http://schemas.openxmlformats.org/officeDocument/2006/relationships/image" Target="media/image445.jpeg"/><Relationship Id="rId444" Type="http://schemas.openxmlformats.org/officeDocument/2006/relationships/image" Target="media/image444.jpeg"/><Relationship Id="rId443" Type="http://schemas.openxmlformats.org/officeDocument/2006/relationships/image" Target="media/image443.jpeg"/><Relationship Id="rId442" Type="http://schemas.openxmlformats.org/officeDocument/2006/relationships/image" Target="media/image442.jpeg"/><Relationship Id="rId441" Type="http://schemas.openxmlformats.org/officeDocument/2006/relationships/image" Target="media/image441.jpeg"/><Relationship Id="rId440" Type="http://schemas.openxmlformats.org/officeDocument/2006/relationships/image" Target="media/image440.jpeg"/><Relationship Id="rId44" Type="http://schemas.openxmlformats.org/officeDocument/2006/relationships/image" Target="media/image44.jpeg"/><Relationship Id="rId439" Type="http://schemas.openxmlformats.org/officeDocument/2006/relationships/image" Target="media/image439.jpeg"/><Relationship Id="rId438" Type="http://schemas.openxmlformats.org/officeDocument/2006/relationships/image" Target="media/image438.jpeg"/><Relationship Id="rId437" Type="http://schemas.openxmlformats.org/officeDocument/2006/relationships/image" Target="media/image437.jpeg"/><Relationship Id="rId436" Type="http://schemas.openxmlformats.org/officeDocument/2006/relationships/image" Target="media/image436.jpeg"/><Relationship Id="rId435" Type="http://schemas.openxmlformats.org/officeDocument/2006/relationships/image" Target="media/image435.jpeg"/><Relationship Id="rId434" Type="http://schemas.openxmlformats.org/officeDocument/2006/relationships/image" Target="media/image434.jpeg"/><Relationship Id="rId433" Type="http://schemas.openxmlformats.org/officeDocument/2006/relationships/image" Target="media/image433.jpeg"/><Relationship Id="rId432" Type="http://schemas.openxmlformats.org/officeDocument/2006/relationships/image" Target="media/image432.jpeg"/><Relationship Id="rId431" Type="http://schemas.openxmlformats.org/officeDocument/2006/relationships/image" Target="media/image431.jpeg"/><Relationship Id="rId430" Type="http://schemas.openxmlformats.org/officeDocument/2006/relationships/image" Target="media/image430.jpeg"/><Relationship Id="rId43" Type="http://schemas.openxmlformats.org/officeDocument/2006/relationships/image" Target="media/image43.jpeg"/><Relationship Id="rId429" Type="http://schemas.openxmlformats.org/officeDocument/2006/relationships/image" Target="media/image429.jpeg"/><Relationship Id="rId428" Type="http://schemas.openxmlformats.org/officeDocument/2006/relationships/image" Target="media/image428.jpeg"/><Relationship Id="rId427" Type="http://schemas.openxmlformats.org/officeDocument/2006/relationships/image" Target="media/image427.jpeg"/><Relationship Id="rId426" Type="http://schemas.openxmlformats.org/officeDocument/2006/relationships/image" Target="media/image426.jpeg"/><Relationship Id="rId425" Type="http://schemas.openxmlformats.org/officeDocument/2006/relationships/image" Target="media/image425.jpeg"/><Relationship Id="rId424" Type="http://schemas.openxmlformats.org/officeDocument/2006/relationships/image" Target="media/image424.jpeg"/><Relationship Id="rId423" Type="http://schemas.openxmlformats.org/officeDocument/2006/relationships/image" Target="media/image423.jpeg"/><Relationship Id="rId422" Type="http://schemas.openxmlformats.org/officeDocument/2006/relationships/image" Target="media/image422.jpeg"/><Relationship Id="rId421" Type="http://schemas.openxmlformats.org/officeDocument/2006/relationships/image" Target="media/image421.jpeg"/><Relationship Id="rId420" Type="http://schemas.openxmlformats.org/officeDocument/2006/relationships/image" Target="media/image420.jpeg"/><Relationship Id="rId42" Type="http://schemas.openxmlformats.org/officeDocument/2006/relationships/image" Target="media/image42.jpeg"/><Relationship Id="rId419" Type="http://schemas.openxmlformats.org/officeDocument/2006/relationships/image" Target="media/image419.jpeg"/><Relationship Id="rId418" Type="http://schemas.openxmlformats.org/officeDocument/2006/relationships/image" Target="media/image418.jpeg"/><Relationship Id="rId417" Type="http://schemas.openxmlformats.org/officeDocument/2006/relationships/image" Target="media/image417.jpeg"/><Relationship Id="rId416" Type="http://schemas.openxmlformats.org/officeDocument/2006/relationships/image" Target="media/image416.jpeg"/><Relationship Id="rId415" Type="http://schemas.openxmlformats.org/officeDocument/2006/relationships/image" Target="media/image415.jpeg"/><Relationship Id="rId414" Type="http://schemas.openxmlformats.org/officeDocument/2006/relationships/image" Target="media/image414.jpeg"/><Relationship Id="rId413" Type="http://schemas.openxmlformats.org/officeDocument/2006/relationships/image" Target="media/image413.jpeg"/><Relationship Id="rId412" Type="http://schemas.openxmlformats.org/officeDocument/2006/relationships/image" Target="media/image412.jpeg"/><Relationship Id="rId411" Type="http://schemas.openxmlformats.org/officeDocument/2006/relationships/image" Target="media/image411.jpeg"/><Relationship Id="rId410" Type="http://schemas.openxmlformats.org/officeDocument/2006/relationships/image" Target="media/image410.jpeg"/><Relationship Id="rId41" Type="http://schemas.openxmlformats.org/officeDocument/2006/relationships/image" Target="media/image41.jpeg"/><Relationship Id="rId409" Type="http://schemas.openxmlformats.org/officeDocument/2006/relationships/image" Target="media/image409.jpeg"/><Relationship Id="rId408" Type="http://schemas.openxmlformats.org/officeDocument/2006/relationships/image" Target="media/image408.jpeg"/><Relationship Id="rId407" Type="http://schemas.openxmlformats.org/officeDocument/2006/relationships/image" Target="media/image407.jpeg"/><Relationship Id="rId406" Type="http://schemas.openxmlformats.org/officeDocument/2006/relationships/image" Target="media/image406.jpeg"/><Relationship Id="rId405" Type="http://schemas.openxmlformats.org/officeDocument/2006/relationships/image" Target="media/image405.jpeg"/><Relationship Id="rId404" Type="http://schemas.openxmlformats.org/officeDocument/2006/relationships/image" Target="media/image404.jpeg"/><Relationship Id="rId403" Type="http://schemas.openxmlformats.org/officeDocument/2006/relationships/image" Target="media/image403.jpeg"/><Relationship Id="rId402" Type="http://schemas.openxmlformats.org/officeDocument/2006/relationships/image" Target="media/image402.jpeg"/><Relationship Id="rId401" Type="http://schemas.openxmlformats.org/officeDocument/2006/relationships/image" Target="media/image401.jpeg"/><Relationship Id="rId400" Type="http://schemas.openxmlformats.org/officeDocument/2006/relationships/image" Target="media/image400.jpeg"/><Relationship Id="rId40" Type="http://schemas.openxmlformats.org/officeDocument/2006/relationships/image" Target="media/image40.jpeg"/><Relationship Id="rId4" Type="http://schemas.openxmlformats.org/officeDocument/2006/relationships/image" Target="media/image4.jpeg"/><Relationship Id="rId399" Type="http://schemas.openxmlformats.org/officeDocument/2006/relationships/image" Target="media/image399.jpeg"/><Relationship Id="rId398" Type="http://schemas.openxmlformats.org/officeDocument/2006/relationships/image" Target="media/image398.jpeg"/><Relationship Id="rId397" Type="http://schemas.openxmlformats.org/officeDocument/2006/relationships/image" Target="media/image397.jpeg"/><Relationship Id="rId396" Type="http://schemas.openxmlformats.org/officeDocument/2006/relationships/image" Target="media/image396.jpeg"/><Relationship Id="rId395" Type="http://schemas.openxmlformats.org/officeDocument/2006/relationships/image" Target="media/image395.jpeg"/><Relationship Id="rId394" Type="http://schemas.openxmlformats.org/officeDocument/2006/relationships/image" Target="media/image394.jpeg"/><Relationship Id="rId393" Type="http://schemas.openxmlformats.org/officeDocument/2006/relationships/image" Target="media/image393.jpeg"/><Relationship Id="rId392" Type="http://schemas.openxmlformats.org/officeDocument/2006/relationships/image" Target="media/image392.jpeg"/><Relationship Id="rId391" Type="http://schemas.openxmlformats.org/officeDocument/2006/relationships/image" Target="media/image391.jpeg"/><Relationship Id="rId390" Type="http://schemas.openxmlformats.org/officeDocument/2006/relationships/image" Target="media/image390.jpeg"/><Relationship Id="rId39" Type="http://schemas.openxmlformats.org/officeDocument/2006/relationships/image" Target="media/image39.jpeg"/><Relationship Id="rId389" Type="http://schemas.openxmlformats.org/officeDocument/2006/relationships/image" Target="media/image389.jpeg"/><Relationship Id="rId388" Type="http://schemas.openxmlformats.org/officeDocument/2006/relationships/image" Target="media/image388.jpeg"/><Relationship Id="rId387" Type="http://schemas.openxmlformats.org/officeDocument/2006/relationships/image" Target="media/image387.jpeg"/><Relationship Id="rId386" Type="http://schemas.openxmlformats.org/officeDocument/2006/relationships/image" Target="media/image386.jpeg"/><Relationship Id="rId385" Type="http://schemas.openxmlformats.org/officeDocument/2006/relationships/image" Target="media/image385.jpeg"/><Relationship Id="rId384" Type="http://schemas.openxmlformats.org/officeDocument/2006/relationships/image" Target="media/image384.jpeg"/><Relationship Id="rId383" Type="http://schemas.openxmlformats.org/officeDocument/2006/relationships/image" Target="media/image383.jpeg"/><Relationship Id="rId382" Type="http://schemas.openxmlformats.org/officeDocument/2006/relationships/image" Target="media/image382.jpeg"/><Relationship Id="rId381" Type="http://schemas.openxmlformats.org/officeDocument/2006/relationships/image" Target="media/image381.jpeg"/><Relationship Id="rId380" Type="http://schemas.openxmlformats.org/officeDocument/2006/relationships/image" Target="media/image380.jpeg"/><Relationship Id="rId38" Type="http://schemas.openxmlformats.org/officeDocument/2006/relationships/image" Target="media/image38.jpeg"/><Relationship Id="rId379" Type="http://schemas.openxmlformats.org/officeDocument/2006/relationships/image" Target="media/image379.jpeg"/><Relationship Id="rId378" Type="http://schemas.openxmlformats.org/officeDocument/2006/relationships/image" Target="media/image378.jpeg"/><Relationship Id="rId377" Type="http://schemas.openxmlformats.org/officeDocument/2006/relationships/image" Target="media/image377.jpeg"/><Relationship Id="rId376" Type="http://schemas.openxmlformats.org/officeDocument/2006/relationships/image" Target="media/image376.jpeg"/><Relationship Id="rId375" Type="http://schemas.openxmlformats.org/officeDocument/2006/relationships/image" Target="media/image375.jpeg"/><Relationship Id="rId374" Type="http://schemas.openxmlformats.org/officeDocument/2006/relationships/image" Target="media/image374.jpeg"/><Relationship Id="rId373" Type="http://schemas.openxmlformats.org/officeDocument/2006/relationships/image" Target="media/image373.jpeg"/><Relationship Id="rId372" Type="http://schemas.openxmlformats.org/officeDocument/2006/relationships/image" Target="media/image372.jpeg"/><Relationship Id="rId371" Type="http://schemas.openxmlformats.org/officeDocument/2006/relationships/image" Target="media/image371.jpeg"/><Relationship Id="rId370" Type="http://schemas.openxmlformats.org/officeDocument/2006/relationships/image" Target="media/image370.jpeg"/><Relationship Id="rId37" Type="http://schemas.openxmlformats.org/officeDocument/2006/relationships/image" Target="media/image37.jpeg"/><Relationship Id="rId369" Type="http://schemas.openxmlformats.org/officeDocument/2006/relationships/image" Target="media/image369.jpeg"/><Relationship Id="rId368" Type="http://schemas.openxmlformats.org/officeDocument/2006/relationships/image" Target="media/image368.jpeg"/><Relationship Id="rId367" Type="http://schemas.openxmlformats.org/officeDocument/2006/relationships/image" Target="media/image367.jpeg"/><Relationship Id="rId366" Type="http://schemas.openxmlformats.org/officeDocument/2006/relationships/image" Target="media/image366.jpeg"/><Relationship Id="rId365" Type="http://schemas.openxmlformats.org/officeDocument/2006/relationships/image" Target="media/image365.jpeg"/><Relationship Id="rId364" Type="http://schemas.openxmlformats.org/officeDocument/2006/relationships/image" Target="media/image364.jpeg"/><Relationship Id="rId363" Type="http://schemas.openxmlformats.org/officeDocument/2006/relationships/image" Target="media/image363.jpeg"/><Relationship Id="rId362" Type="http://schemas.openxmlformats.org/officeDocument/2006/relationships/image" Target="media/image362.jpeg"/><Relationship Id="rId361" Type="http://schemas.openxmlformats.org/officeDocument/2006/relationships/image" Target="media/image361.jpeg"/><Relationship Id="rId360" Type="http://schemas.openxmlformats.org/officeDocument/2006/relationships/image" Target="media/image360.jpeg"/><Relationship Id="rId36" Type="http://schemas.openxmlformats.org/officeDocument/2006/relationships/image" Target="media/image36.jpeg"/><Relationship Id="rId359" Type="http://schemas.openxmlformats.org/officeDocument/2006/relationships/image" Target="media/image359.jpeg"/><Relationship Id="rId358" Type="http://schemas.openxmlformats.org/officeDocument/2006/relationships/image" Target="media/image358.jpeg"/><Relationship Id="rId357" Type="http://schemas.openxmlformats.org/officeDocument/2006/relationships/image" Target="media/image357.jpeg"/><Relationship Id="rId356" Type="http://schemas.openxmlformats.org/officeDocument/2006/relationships/image" Target="media/image356.jpeg"/><Relationship Id="rId355" Type="http://schemas.openxmlformats.org/officeDocument/2006/relationships/image" Target="media/image355.jpeg"/><Relationship Id="rId354" Type="http://schemas.openxmlformats.org/officeDocument/2006/relationships/image" Target="media/image354.jpeg"/><Relationship Id="rId353" Type="http://schemas.openxmlformats.org/officeDocument/2006/relationships/image" Target="media/image353.jpeg"/><Relationship Id="rId352" Type="http://schemas.openxmlformats.org/officeDocument/2006/relationships/image" Target="media/image352.jpeg"/><Relationship Id="rId351" Type="http://schemas.openxmlformats.org/officeDocument/2006/relationships/image" Target="media/image351.jpeg"/><Relationship Id="rId350" Type="http://schemas.openxmlformats.org/officeDocument/2006/relationships/image" Target="media/image350.jpeg"/><Relationship Id="rId35" Type="http://schemas.openxmlformats.org/officeDocument/2006/relationships/image" Target="media/image35.jpeg"/><Relationship Id="rId349" Type="http://schemas.openxmlformats.org/officeDocument/2006/relationships/image" Target="media/image349.jpeg"/><Relationship Id="rId348" Type="http://schemas.openxmlformats.org/officeDocument/2006/relationships/image" Target="media/image348.jpeg"/><Relationship Id="rId347" Type="http://schemas.openxmlformats.org/officeDocument/2006/relationships/image" Target="media/image347.jpeg"/><Relationship Id="rId346" Type="http://schemas.openxmlformats.org/officeDocument/2006/relationships/image" Target="media/image346.jpeg"/><Relationship Id="rId345" Type="http://schemas.openxmlformats.org/officeDocument/2006/relationships/image" Target="media/image345.jpeg"/><Relationship Id="rId344" Type="http://schemas.openxmlformats.org/officeDocument/2006/relationships/image" Target="media/image344.jpeg"/><Relationship Id="rId343" Type="http://schemas.openxmlformats.org/officeDocument/2006/relationships/image" Target="media/image343.jpeg"/><Relationship Id="rId342" Type="http://schemas.openxmlformats.org/officeDocument/2006/relationships/image" Target="media/image342.jpeg"/><Relationship Id="rId341" Type="http://schemas.openxmlformats.org/officeDocument/2006/relationships/image" Target="media/image341.jpeg"/><Relationship Id="rId340" Type="http://schemas.openxmlformats.org/officeDocument/2006/relationships/image" Target="media/image340.jpeg"/><Relationship Id="rId34" Type="http://schemas.openxmlformats.org/officeDocument/2006/relationships/image" Target="media/image34.jpeg"/><Relationship Id="rId339" Type="http://schemas.openxmlformats.org/officeDocument/2006/relationships/image" Target="media/image339.jpeg"/><Relationship Id="rId338" Type="http://schemas.openxmlformats.org/officeDocument/2006/relationships/image" Target="media/image338.jpeg"/><Relationship Id="rId337" Type="http://schemas.openxmlformats.org/officeDocument/2006/relationships/image" Target="media/image337.jpeg"/><Relationship Id="rId336" Type="http://schemas.openxmlformats.org/officeDocument/2006/relationships/image" Target="media/image336.jpeg"/><Relationship Id="rId335" Type="http://schemas.openxmlformats.org/officeDocument/2006/relationships/image" Target="media/image335.jpeg"/><Relationship Id="rId334" Type="http://schemas.openxmlformats.org/officeDocument/2006/relationships/image" Target="media/image334.jpeg"/><Relationship Id="rId333" Type="http://schemas.openxmlformats.org/officeDocument/2006/relationships/image" Target="media/image333.jpeg"/><Relationship Id="rId332" Type="http://schemas.openxmlformats.org/officeDocument/2006/relationships/image" Target="media/image332.jpeg"/><Relationship Id="rId331" Type="http://schemas.openxmlformats.org/officeDocument/2006/relationships/image" Target="media/image331.jpeg"/><Relationship Id="rId330" Type="http://schemas.openxmlformats.org/officeDocument/2006/relationships/image" Target="media/image330.jpeg"/><Relationship Id="rId33" Type="http://schemas.openxmlformats.org/officeDocument/2006/relationships/image" Target="media/image33.jpeg"/><Relationship Id="rId329" Type="http://schemas.openxmlformats.org/officeDocument/2006/relationships/image" Target="media/image329.jpeg"/><Relationship Id="rId328" Type="http://schemas.openxmlformats.org/officeDocument/2006/relationships/image" Target="media/image328.jpeg"/><Relationship Id="rId327" Type="http://schemas.openxmlformats.org/officeDocument/2006/relationships/image" Target="media/image327.jpeg"/><Relationship Id="rId326" Type="http://schemas.openxmlformats.org/officeDocument/2006/relationships/image" Target="media/image326.jpeg"/><Relationship Id="rId325" Type="http://schemas.openxmlformats.org/officeDocument/2006/relationships/image" Target="media/image325.jpeg"/><Relationship Id="rId324" Type="http://schemas.openxmlformats.org/officeDocument/2006/relationships/image" Target="media/image324.jpeg"/><Relationship Id="rId323" Type="http://schemas.openxmlformats.org/officeDocument/2006/relationships/image" Target="media/image323.jpeg"/><Relationship Id="rId322" Type="http://schemas.openxmlformats.org/officeDocument/2006/relationships/image" Target="media/image322.jpeg"/><Relationship Id="rId321" Type="http://schemas.openxmlformats.org/officeDocument/2006/relationships/image" Target="media/image321.jpeg"/><Relationship Id="rId320" Type="http://schemas.openxmlformats.org/officeDocument/2006/relationships/image" Target="media/image320.jpeg"/><Relationship Id="rId32" Type="http://schemas.openxmlformats.org/officeDocument/2006/relationships/image" Target="media/image32.jpeg"/><Relationship Id="rId319" Type="http://schemas.openxmlformats.org/officeDocument/2006/relationships/image" Target="media/image319.jpeg"/><Relationship Id="rId318" Type="http://schemas.openxmlformats.org/officeDocument/2006/relationships/image" Target="media/image318.jpeg"/><Relationship Id="rId317" Type="http://schemas.openxmlformats.org/officeDocument/2006/relationships/image" Target="media/image317.jpeg"/><Relationship Id="rId316" Type="http://schemas.openxmlformats.org/officeDocument/2006/relationships/image" Target="media/image316.jpeg"/><Relationship Id="rId315" Type="http://schemas.openxmlformats.org/officeDocument/2006/relationships/image" Target="media/image315.jpeg"/><Relationship Id="rId314" Type="http://schemas.openxmlformats.org/officeDocument/2006/relationships/image" Target="media/image314.jpeg"/><Relationship Id="rId313" Type="http://schemas.openxmlformats.org/officeDocument/2006/relationships/image" Target="media/image313.jpeg"/><Relationship Id="rId312" Type="http://schemas.openxmlformats.org/officeDocument/2006/relationships/image" Target="media/image312.jpeg"/><Relationship Id="rId311" Type="http://schemas.openxmlformats.org/officeDocument/2006/relationships/image" Target="media/image311.jpeg"/><Relationship Id="rId310" Type="http://schemas.openxmlformats.org/officeDocument/2006/relationships/image" Target="media/image310.jpeg"/><Relationship Id="rId31" Type="http://schemas.openxmlformats.org/officeDocument/2006/relationships/image" Target="media/image31.jpeg"/><Relationship Id="rId309" Type="http://schemas.openxmlformats.org/officeDocument/2006/relationships/image" Target="media/image309.jpeg"/><Relationship Id="rId308" Type="http://schemas.openxmlformats.org/officeDocument/2006/relationships/image" Target="media/image308.jpeg"/><Relationship Id="rId307" Type="http://schemas.openxmlformats.org/officeDocument/2006/relationships/image" Target="media/image307.jpeg"/><Relationship Id="rId306" Type="http://schemas.openxmlformats.org/officeDocument/2006/relationships/image" Target="media/image306.jpeg"/><Relationship Id="rId305" Type="http://schemas.openxmlformats.org/officeDocument/2006/relationships/image" Target="media/image305.jpeg"/><Relationship Id="rId304" Type="http://schemas.openxmlformats.org/officeDocument/2006/relationships/image" Target="media/image304.jpeg"/><Relationship Id="rId303" Type="http://schemas.openxmlformats.org/officeDocument/2006/relationships/image" Target="media/image303.jpeg"/><Relationship Id="rId302" Type="http://schemas.openxmlformats.org/officeDocument/2006/relationships/image" Target="media/image302.jpeg"/><Relationship Id="rId301" Type="http://schemas.openxmlformats.org/officeDocument/2006/relationships/image" Target="media/image301.jpeg"/><Relationship Id="rId300" Type="http://schemas.openxmlformats.org/officeDocument/2006/relationships/image" Target="media/image300.jpeg"/><Relationship Id="rId30" Type="http://schemas.openxmlformats.org/officeDocument/2006/relationships/image" Target="media/image30.jpeg"/><Relationship Id="rId3" Type="http://schemas.openxmlformats.org/officeDocument/2006/relationships/image" Target="media/image3.jpeg"/><Relationship Id="rId299" Type="http://schemas.openxmlformats.org/officeDocument/2006/relationships/image" Target="media/image299.jpeg"/><Relationship Id="rId298" Type="http://schemas.openxmlformats.org/officeDocument/2006/relationships/image" Target="media/image298.jpeg"/><Relationship Id="rId297" Type="http://schemas.openxmlformats.org/officeDocument/2006/relationships/image" Target="media/image297.jpeg"/><Relationship Id="rId296" Type="http://schemas.openxmlformats.org/officeDocument/2006/relationships/image" Target="media/image296.jpeg"/><Relationship Id="rId295" Type="http://schemas.openxmlformats.org/officeDocument/2006/relationships/image" Target="media/image295.jpeg"/><Relationship Id="rId294" Type="http://schemas.openxmlformats.org/officeDocument/2006/relationships/image" Target="media/image294.jpeg"/><Relationship Id="rId293" Type="http://schemas.openxmlformats.org/officeDocument/2006/relationships/image" Target="media/image293.jpeg"/><Relationship Id="rId292" Type="http://schemas.openxmlformats.org/officeDocument/2006/relationships/image" Target="media/image292.jpeg"/><Relationship Id="rId291" Type="http://schemas.openxmlformats.org/officeDocument/2006/relationships/image" Target="media/image291.jpeg"/><Relationship Id="rId290" Type="http://schemas.openxmlformats.org/officeDocument/2006/relationships/image" Target="media/image290.jpeg"/><Relationship Id="rId29" Type="http://schemas.openxmlformats.org/officeDocument/2006/relationships/image" Target="media/image29.jpeg"/><Relationship Id="rId289" Type="http://schemas.openxmlformats.org/officeDocument/2006/relationships/image" Target="media/image289.jpeg"/><Relationship Id="rId288" Type="http://schemas.openxmlformats.org/officeDocument/2006/relationships/image" Target="media/image288.jpeg"/><Relationship Id="rId287" Type="http://schemas.openxmlformats.org/officeDocument/2006/relationships/image" Target="media/image287.jpeg"/><Relationship Id="rId286" Type="http://schemas.openxmlformats.org/officeDocument/2006/relationships/image" Target="media/image286.jpeg"/><Relationship Id="rId285" Type="http://schemas.openxmlformats.org/officeDocument/2006/relationships/image" Target="media/image285.jpeg"/><Relationship Id="rId284" Type="http://schemas.openxmlformats.org/officeDocument/2006/relationships/image" Target="media/image284.jpeg"/><Relationship Id="rId283" Type="http://schemas.openxmlformats.org/officeDocument/2006/relationships/image" Target="media/image283.jpeg"/><Relationship Id="rId282" Type="http://schemas.openxmlformats.org/officeDocument/2006/relationships/image" Target="media/image282.jpeg"/><Relationship Id="rId281" Type="http://schemas.openxmlformats.org/officeDocument/2006/relationships/image" Target="media/image281.jpeg"/><Relationship Id="rId280" Type="http://schemas.openxmlformats.org/officeDocument/2006/relationships/image" Target="media/image280.jpeg"/><Relationship Id="rId28" Type="http://schemas.openxmlformats.org/officeDocument/2006/relationships/image" Target="media/image28.jpeg"/><Relationship Id="rId279" Type="http://schemas.openxmlformats.org/officeDocument/2006/relationships/image" Target="media/image279.jpeg"/><Relationship Id="rId278" Type="http://schemas.openxmlformats.org/officeDocument/2006/relationships/image" Target="media/image278.jpeg"/><Relationship Id="rId277" Type="http://schemas.openxmlformats.org/officeDocument/2006/relationships/image" Target="media/image277.jpeg"/><Relationship Id="rId276" Type="http://schemas.openxmlformats.org/officeDocument/2006/relationships/image" Target="media/image276.jpeg"/><Relationship Id="rId275" Type="http://schemas.openxmlformats.org/officeDocument/2006/relationships/image" Target="media/image275.jpeg"/><Relationship Id="rId274" Type="http://schemas.openxmlformats.org/officeDocument/2006/relationships/image" Target="media/image274.jpeg"/><Relationship Id="rId273" Type="http://schemas.openxmlformats.org/officeDocument/2006/relationships/image" Target="media/image273.jpeg"/><Relationship Id="rId272" Type="http://schemas.openxmlformats.org/officeDocument/2006/relationships/image" Target="media/image272.jpeg"/><Relationship Id="rId271" Type="http://schemas.openxmlformats.org/officeDocument/2006/relationships/image" Target="media/image271.jpeg"/><Relationship Id="rId270" Type="http://schemas.openxmlformats.org/officeDocument/2006/relationships/image" Target="media/image270.jpeg"/><Relationship Id="rId27" Type="http://schemas.openxmlformats.org/officeDocument/2006/relationships/image" Target="media/image27.jpeg"/><Relationship Id="rId269" Type="http://schemas.openxmlformats.org/officeDocument/2006/relationships/image" Target="media/image269.jpeg"/><Relationship Id="rId268" Type="http://schemas.openxmlformats.org/officeDocument/2006/relationships/image" Target="media/image268.jpeg"/><Relationship Id="rId267" Type="http://schemas.openxmlformats.org/officeDocument/2006/relationships/image" Target="media/image267.jpeg"/><Relationship Id="rId266" Type="http://schemas.openxmlformats.org/officeDocument/2006/relationships/image" Target="media/image266.jpeg"/><Relationship Id="rId265" Type="http://schemas.openxmlformats.org/officeDocument/2006/relationships/image" Target="media/image265.jpeg"/><Relationship Id="rId264" Type="http://schemas.openxmlformats.org/officeDocument/2006/relationships/image" Target="media/image264.jpeg"/><Relationship Id="rId263" Type="http://schemas.openxmlformats.org/officeDocument/2006/relationships/image" Target="media/image263.jpeg"/><Relationship Id="rId262" Type="http://schemas.openxmlformats.org/officeDocument/2006/relationships/image" Target="media/image262.jpeg"/><Relationship Id="rId261" Type="http://schemas.openxmlformats.org/officeDocument/2006/relationships/image" Target="media/image261.jpeg"/><Relationship Id="rId260" Type="http://schemas.openxmlformats.org/officeDocument/2006/relationships/image" Target="media/image260.jpeg"/><Relationship Id="rId26" Type="http://schemas.openxmlformats.org/officeDocument/2006/relationships/image" Target="media/image26.jpeg"/><Relationship Id="rId259" Type="http://schemas.openxmlformats.org/officeDocument/2006/relationships/image" Target="media/image259.jpeg"/><Relationship Id="rId258" Type="http://schemas.openxmlformats.org/officeDocument/2006/relationships/image" Target="media/image258.jpeg"/><Relationship Id="rId257" Type="http://schemas.openxmlformats.org/officeDocument/2006/relationships/image" Target="media/image257.jpeg"/><Relationship Id="rId256" Type="http://schemas.openxmlformats.org/officeDocument/2006/relationships/image" Target="media/image256.jpeg"/><Relationship Id="rId255" Type="http://schemas.openxmlformats.org/officeDocument/2006/relationships/image" Target="media/image255.jpeg"/><Relationship Id="rId254" Type="http://schemas.openxmlformats.org/officeDocument/2006/relationships/image" Target="media/image254.jpeg"/><Relationship Id="rId253" Type="http://schemas.openxmlformats.org/officeDocument/2006/relationships/image" Target="media/image253.jpeg"/><Relationship Id="rId252" Type="http://schemas.openxmlformats.org/officeDocument/2006/relationships/image" Target="media/image252.jpeg"/><Relationship Id="rId251" Type="http://schemas.openxmlformats.org/officeDocument/2006/relationships/image" Target="media/image251.jpeg"/><Relationship Id="rId250" Type="http://schemas.openxmlformats.org/officeDocument/2006/relationships/image" Target="media/image250.jpeg"/><Relationship Id="rId25" Type="http://schemas.openxmlformats.org/officeDocument/2006/relationships/image" Target="media/image25.jpeg"/><Relationship Id="rId249" Type="http://schemas.openxmlformats.org/officeDocument/2006/relationships/image" Target="media/image249.jpeg"/><Relationship Id="rId248" Type="http://schemas.openxmlformats.org/officeDocument/2006/relationships/image" Target="media/image248.jpeg"/><Relationship Id="rId247" Type="http://schemas.openxmlformats.org/officeDocument/2006/relationships/image" Target="media/image247.jpeg"/><Relationship Id="rId246" Type="http://schemas.openxmlformats.org/officeDocument/2006/relationships/image" Target="media/image246.jpeg"/><Relationship Id="rId245" Type="http://schemas.openxmlformats.org/officeDocument/2006/relationships/image" Target="media/image245.jpeg"/><Relationship Id="rId244" Type="http://schemas.openxmlformats.org/officeDocument/2006/relationships/image" Target="media/image244.jpeg"/><Relationship Id="rId243" Type="http://schemas.openxmlformats.org/officeDocument/2006/relationships/image" Target="media/image243.jpeg"/><Relationship Id="rId242" Type="http://schemas.openxmlformats.org/officeDocument/2006/relationships/image" Target="media/image242.jpeg"/><Relationship Id="rId241" Type="http://schemas.openxmlformats.org/officeDocument/2006/relationships/image" Target="media/image241.jpeg"/><Relationship Id="rId240" Type="http://schemas.openxmlformats.org/officeDocument/2006/relationships/image" Target="media/image240.jpeg"/><Relationship Id="rId24" Type="http://schemas.openxmlformats.org/officeDocument/2006/relationships/image" Target="media/image24.jpeg"/><Relationship Id="rId239" Type="http://schemas.openxmlformats.org/officeDocument/2006/relationships/image" Target="media/image239.jpeg"/><Relationship Id="rId238" Type="http://schemas.openxmlformats.org/officeDocument/2006/relationships/image" Target="media/image238.jpeg"/><Relationship Id="rId237" Type="http://schemas.openxmlformats.org/officeDocument/2006/relationships/image" Target="media/image237.jpeg"/><Relationship Id="rId236" Type="http://schemas.openxmlformats.org/officeDocument/2006/relationships/image" Target="media/image236.jpeg"/><Relationship Id="rId235" Type="http://schemas.openxmlformats.org/officeDocument/2006/relationships/image" Target="media/image235.jpeg"/><Relationship Id="rId234" Type="http://schemas.openxmlformats.org/officeDocument/2006/relationships/image" Target="media/image234.jpeg"/><Relationship Id="rId233" Type="http://schemas.openxmlformats.org/officeDocument/2006/relationships/image" Target="media/image233.jpeg"/><Relationship Id="rId232" Type="http://schemas.openxmlformats.org/officeDocument/2006/relationships/image" Target="media/image232.jpeg"/><Relationship Id="rId231" Type="http://schemas.openxmlformats.org/officeDocument/2006/relationships/image" Target="media/image231.jpeg"/><Relationship Id="rId230" Type="http://schemas.openxmlformats.org/officeDocument/2006/relationships/image" Target="media/image230.jpeg"/><Relationship Id="rId23" Type="http://schemas.openxmlformats.org/officeDocument/2006/relationships/image" Target="media/image23.jpeg"/><Relationship Id="rId229" Type="http://schemas.openxmlformats.org/officeDocument/2006/relationships/image" Target="media/image229.jpeg"/><Relationship Id="rId228" Type="http://schemas.openxmlformats.org/officeDocument/2006/relationships/image" Target="media/image228.jpeg"/><Relationship Id="rId227" Type="http://schemas.openxmlformats.org/officeDocument/2006/relationships/image" Target="media/image227.jpeg"/><Relationship Id="rId226" Type="http://schemas.openxmlformats.org/officeDocument/2006/relationships/image" Target="media/image226.jpeg"/><Relationship Id="rId225" Type="http://schemas.openxmlformats.org/officeDocument/2006/relationships/image" Target="media/image225.jpeg"/><Relationship Id="rId224" Type="http://schemas.openxmlformats.org/officeDocument/2006/relationships/image" Target="media/image224.jpeg"/><Relationship Id="rId223" Type="http://schemas.openxmlformats.org/officeDocument/2006/relationships/image" Target="media/image223.jpeg"/><Relationship Id="rId222" Type="http://schemas.openxmlformats.org/officeDocument/2006/relationships/image" Target="media/image222.jpeg"/><Relationship Id="rId221" Type="http://schemas.openxmlformats.org/officeDocument/2006/relationships/image" Target="media/image221.jpeg"/><Relationship Id="rId220" Type="http://schemas.openxmlformats.org/officeDocument/2006/relationships/image" Target="media/image220.jpeg"/><Relationship Id="rId22" Type="http://schemas.openxmlformats.org/officeDocument/2006/relationships/image" Target="media/image22.jpeg"/><Relationship Id="rId219" Type="http://schemas.openxmlformats.org/officeDocument/2006/relationships/image" Target="media/image219.jpeg"/><Relationship Id="rId218" Type="http://schemas.openxmlformats.org/officeDocument/2006/relationships/image" Target="media/image218.jpeg"/><Relationship Id="rId217" Type="http://schemas.openxmlformats.org/officeDocument/2006/relationships/image" Target="media/image217.jpeg"/><Relationship Id="rId216" Type="http://schemas.openxmlformats.org/officeDocument/2006/relationships/image" Target="media/image216.jpeg"/><Relationship Id="rId215" Type="http://schemas.openxmlformats.org/officeDocument/2006/relationships/image" Target="media/image215.jpeg"/><Relationship Id="rId214" Type="http://schemas.openxmlformats.org/officeDocument/2006/relationships/image" Target="media/image214.jpeg"/><Relationship Id="rId213" Type="http://schemas.openxmlformats.org/officeDocument/2006/relationships/image" Target="media/image213.jpeg"/><Relationship Id="rId212" Type="http://schemas.openxmlformats.org/officeDocument/2006/relationships/image" Target="media/image212.jpeg"/><Relationship Id="rId211" Type="http://schemas.openxmlformats.org/officeDocument/2006/relationships/image" Target="media/image211.jpeg"/><Relationship Id="rId210" Type="http://schemas.openxmlformats.org/officeDocument/2006/relationships/image" Target="media/image210.jpeg"/><Relationship Id="rId21" Type="http://schemas.openxmlformats.org/officeDocument/2006/relationships/image" Target="media/image21.jpeg"/><Relationship Id="rId209" Type="http://schemas.openxmlformats.org/officeDocument/2006/relationships/image" Target="media/image209.jpeg"/><Relationship Id="rId208" Type="http://schemas.openxmlformats.org/officeDocument/2006/relationships/image" Target="media/image208.jpeg"/><Relationship Id="rId207" Type="http://schemas.openxmlformats.org/officeDocument/2006/relationships/image" Target="media/image207.jpeg"/><Relationship Id="rId206" Type="http://schemas.openxmlformats.org/officeDocument/2006/relationships/image" Target="media/image206.jpeg"/><Relationship Id="rId205" Type="http://schemas.openxmlformats.org/officeDocument/2006/relationships/image" Target="media/image205.jpeg"/><Relationship Id="rId204" Type="http://schemas.openxmlformats.org/officeDocument/2006/relationships/image" Target="media/image204.jpeg"/><Relationship Id="rId203" Type="http://schemas.openxmlformats.org/officeDocument/2006/relationships/image" Target="media/image203.jpeg"/><Relationship Id="rId202" Type="http://schemas.openxmlformats.org/officeDocument/2006/relationships/image" Target="media/image202.jpeg"/><Relationship Id="rId201" Type="http://schemas.openxmlformats.org/officeDocument/2006/relationships/image" Target="media/image201.jpeg"/><Relationship Id="rId200" Type="http://schemas.openxmlformats.org/officeDocument/2006/relationships/image" Target="media/image200.jpeg"/><Relationship Id="rId20" Type="http://schemas.openxmlformats.org/officeDocument/2006/relationships/image" Target="media/image20.jpeg"/><Relationship Id="rId2" Type="http://schemas.openxmlformats.org/officeDocument/2006/relationships/image" Target="media/image2.jpeg"/><Relationship Id="rId199" Type="http://schemas.openxmlformats.org/officeDocument/2006/relationships/image" Target="media/image199.jpeg"/><Relationship Id="rId198" Type="http://schemas.openxmlformats.org/officeDocument/2006/relationships/image" Target="media/image198.jpeg"/><Relationship Id="rId197" Type="http://schemas.openxmlformats.org/officeDocument/2006/relationships/image" Target="media/image197.jpeg"/><Relationship Id="rId196" Type="http://schemas.openxmlformats.org/officeDocument/2006/relationships/image" Target="media/image196.jpeg"/><Relationship Id="rId195" Type="http://schemas.openxmlformats.org/officeDocument/2006/relationships/image" Target="media/image195.jpeg"/><Relationship Id="rId194" Type="http://schemas.openxmlformats.org/officeDocument/2006/relationships/image" Target="media/image194.jpeg"/><Relationship Id="rId193" Type="http://schemas.openxmlformats.org/officeDocument/2006/relationships/image" Target="media/image193.jpeg"/><Relationship Id="rId192" Type="http://schemas.openxmlformats.org/officeDocument/2006/relationships/image" Target="media/image192.jpeg"/><Relationship Id="rId191" Type="http://schemas.openxmlformats.org/officeDocument/2006/relationships/image" Target="media/image191.jpeg"/><Relationship Id="rId190" Type="http://schemas.openxmlformats.org/officeDocument/2006/relationships/image" Target="media/image190.jpeg"/><Relationship Id="rId19" Type="http://schemas.openxmlformats.org/officeDocument/2006/relationships/image" Target="media/image19.jpeg"/><Relationship Id="rId189" Type="http://schemas.openxmlformats.org/officeDocument/2006/relationships/image" Target="media/image189.jpeg"/><Relationship Id="rId188" Type="http://schemas.openxmlformats.org/officeDocument/2006/relationships/image" Target="media/image188.jpeg"/><Relationship Id="rId187" Type="http://schemas.openxmlformats.org/officeDocument/2006/relationships/image" Target="media/image187.jpeg"/><Relationship Id="rId186" Type="http://schemas.openxmlformats.org/officeDocument/2006/relationships/image" Target="media/image186.jpeg"/><Relationship Id="rId185" Type="http://schemas.openxmlformats.org/officeDocument/2006/relationships/image" Target="media/image185.jpeg"/><Relationship Id="rId184" Type="http://schemas.openxmlformats.org/officeDocument/2006/relationships/image" Target="media/image184.jpeg"/><Relationship Id="rId183" Type="http://schemas.openxmlformats.org/officeDocument/2006/relationships/image" Target="media/image183.jpeg"/><Relationship Id="rId182" Type="http://schemas.openxmlformats.org/officeDocument/2006/relationships/image" Target="media/image182.jpeg"/><Relationship Id="rId181" Type="http://schemas.openxmlformats.org/officeDocument/2006/relationships/image" Target="media/image181.jpeg"/><Relationship Id="rId180" Type="http://schemas.openxmlformats.org/officeDocument/2006/relationships/image" Target="media/image180.jpeg"/><Relationship Id="rId18" Type="http://schemas.openxmlformats.org/officeDocument/2006/relationships/image" Target="media/image18.jpeg"/><Relationship Id="rId179" Type="http://schemas.openxmlformats.org/officeDocument/2006/relationships/image" Target="media/image179.jpeg"/><Relationship Id="rId178" Type="http://schemas.openxmlformats.org/officeDocument/2006/relationships/image" Target="media/image178.jpeg"/><Relationship Id="rId177" Type="http://schemas.openxmlformats.org/officeDocument/2006/relationships/image" Target="media/image177.jpeg"/><Relationship Id="rId176" Type="http://schemas.openxmlformats.org/officeDocument/2006/relationships/image" Target="media/image176.jpeg"/><Relationship Id="rId175" Type="http://schemas.openxmlformats.org/officeDocument/2006/relationships/image" Target="media/image175.jpeg"/><Relationship Id="rId174" Type="http://schemas.openxmlformats.org/officeDocument/2006/relationships/image" Target="media/image174.jpeg"/><Relationship Id="rId173" Type="http://schemas.openxmlformats.org/officeDocument/2006/relationships/image" Target="media/image173.jpeg"/><Relationship Id="rId172" Type="http://schemas.openxmlformats.org/officeDocument/2006/relationships/image" Target="media/image172.jpeg"/><Relationship Id="rId171" Type="http://schemas.openxmlformats.org/officeDocument/2006/relationships/image" Target="media/image171.jpeg"/><Relationship Id="rId170" Type="http://schemas.openxmlformats.org/officeDocument/2006/relationships/image" Target="media/image170.jpeg"/><Relationship Id="rId17" Type="http://schemas.openxmlformats.org/officeDocument/2006/relationships/image" Target="media/image17.jpeg"/><Relationship Id="rId169" Type="http://schemas.openxmlformats.org/officeDocument/2006/relationships/image" Target="media/image169.jpeg"/><Relationship Id="rId168" Type="http://schemas.openxmlformats.org/officeDocument/2006/relationships/image" Target="media/image168.jpeg"/><Relationship Id="rId167" Type="http://schemas.openxmlformats.org/officeDocument/2006/relationships/image" Target="media/image167.jpeg"/><Relationship Id="rId166" Type="http://schemas.openxmlformats.org/officeDocument/2006/relationships/image" Target="media/image166.jpeg"/><Relationship Id="rId165" Type="http://schemas.openxmlformats.org/officeDocument/2006/relationships/image" Target="media/image165.jpeg"/><Relationship Id="rId164" Type="http://schemas.openxmlformats.org/officeDocument/2006/relationships/image" Target="media/image164.jpeg"/><Relationship Id="rId163" Type="http://schemas.openxmlformats.org/officeDocument/2006/relationships/image" Target="media/image163.jpeg"/><Relationship Id="rId162" Type="http://schemas.openxmlformats.org/officeDocument/2006/relationships/image" Target="media/image162.jpeg"/><Relationship Id="rId161" Type="http://schemas.openxmlformats.org/officeDocument/2006/relationships/image" Target="media/image161.jpeg"/><Relationship Id="rId160" Type="http://schemas.openxmlformats.org/officeDocument/2006/relationships/image" Target="media/image160.jpeg"/><Relationship Id="rId16" Type="http://schemas.openxmlformats.org/officeDocument/2006/relationships/image" Target="media/image16.jpeg"/><Relationship Id="rId159" Type="http://schemas.openxmlformats.org/officeDocument/2006/relationships/image" Target="media/image159.jpeg"/><Relationship Id="rId158" Type="http://schemas.openxmlformats.org/officeDocument/2006/relationships/image" Target="media/image158.jpeg"/><Relationship Id="rId157" Type="http://schemas.openxmlformats.org/officeDocument/2006/relationships/image" Target="media/image157.jpeg"/><Relationship Id="rId156" Type="http://schemas.openxmlformats.org/officeDocument/2006/relationships/image" Target="media/image156.jpeg"/><Relationship Id="rId155" Type="http://schemas.openxmlformats.org/officeDocument/2006/relationships/image" Target="media/image155.jpeg"/><Relationship Id="rId154" Type="http://schemas.openxmlformats.org/officeDocument/2006/relationships/image" Target="media/image154.jpeg"/><Relationship Id="rId153" Type="http://schemas.openxmlformats.org/officeDocument/2006/relationships/image" Target="media/image153.jpeg"/><Relationship Id="rId152" Type="http://schemas.openxmlformats.org/officeDocument/2006/relationships/image" Target="media/image152.jpeg"/><Relationship Id="rId151" Type="http://schemas.openxmlformats.org/officeDocument/2006/relationships/image" Target="media/image151.jpeg"/><Relationship Id="rId150" Type="http://schemas.openxmlformats.org/officeDocument/2006/relationships/image" Target="media/image150.jpeg"/><Relationship Id="rId15" Type="http://schemas.openxmlformats.org/officeDocument/2006/relationships/image" Target="media/image15.jpeg"/><Relationship Id="rId149" Type="http://schemas.openxmlformats.org/officeDocument/2006/relationships/image" Target="media/image149.jpeg"/><Relationship Id="rId148" Type="http://schemas.openxmlformats.org/officeDocument/2006/relationships/image" Target="media/image148.jpeg"/><Relationship Id="rId147" Type="http://schemas.openxmlformats.org/officeDocument/2006/relationships/image" Target="media/image147.jpeg"/><Relationship Id="rId146" Type="http://schemas.openxmlformats.org/officeDocument/2006/relationships/image" Target="media/image146.jpeg"/><Relationship Id="rId145" Type="http://schemas.openxmlformats.org/officeDocument/2006/relationships/image" Target="media/image145.jpeg"/><Relationship Id="rId144" Type="http://schemas.openxmlformats.org/officeDocument/2006/relationships/image" Target="media/image144.jpeg"/><Relationship Id="rId143" Type="http://schemas.openxmlformats.org/officeDocument/2006/relationships/image" Target="media/image143.jpeg"/><Relationship Id="rId142" Type="http://schemas.openxmlformats.org/officeDocument/2006/relationships/image" Target="media/image142.jpeg"/><Relationship Id="rId141" Type="http://schemas.openxmlformats.org/officeDocument/2006/relationships/image" Target="media/image141.jpeg"/><Relationship Id="rId140" Type="http://schemas.openxmlformats.org/officeDocument/2006/relationships/image" Target="media/image140.jpeg"/><Relationship Id="rId14" Type="http://schemas.openxmlformats.org/officeDocument/2006/relationships/image" Target="media/image14.jpeg"/><Relationship Id="rId139" Type="http://schemas.openxmlformats.org/officeDocument/2006/relationships/image" Target="media/image139.jpeg"/><Relationship Id="rId138" Type="http://schemas.openxmlformats.org/officeDocument/2006/relationships/image" Target="media/image138.jpeg"/><Relationship Id="rId137" Type="http://schemas.openxmlformats.org/officeDocument/2006/relationships/image" Target="media/image137.jpeg"/><Relationship Id="rId136" Type="http://schemas.openxmlformats.org/officeDocument/2006/relationships/image" Target="media/image136.jpeg"/><Relationship Id="rId135" Type="http://schemas.openxmlformats.org/officeDocument/2006/relationships/image" Target="media/image135.jpeg"/><Relationship Id="rId134" Type="http://schemas.openxmlformats.org/officeDocument/2006/relationships/image" Target="media/image134.jpeg"/><Relationship Id="rId133" Type="http://schemas.openxmlformats.org/officeDocument/2006/relationships/image" Target="media/image133.jpeg"/><Relationship Id="rId132" Type="http://schemas.openxmlformats.org/officeDocument/2006/relationships/image" Target="media/image132.jpeg"/><Relationship Id="rId131" Type="http://schemas.openxmlformats.org/officeDocument/2006/relationships/image" Target="media/image131.jpeg"/><Relationship Id="rId130" Type="http://schemas.openxmlformats.org/officeDocument/2006/relationships/image" Target="media/image130.jpeg"/><Relationship Id="rId13" Type="http://schemas.openxmlformats.org/officeDocument/2006/relationships/image" Target="media/image13.jpeg"/><Relationship Id="rId129" Type="http://schemas.openxmlformats.org/officeDocument/2006/relationships/image" Target="media/image129.jpeg"/><Relationship Id="rId128" Type="http://schemas.openxmlformats.org/officeDocument/2006/relationships/image" Target="media/image128.jpeg"/><Relationship Id="rId127" Type="http://schemas.openxmlformats.org/officeDocument/2006/relationships/image" Target="media/image127.jpeg"/><Relationship Id="rId126" Type="http://schemas.openxmlformats.org/officeDocument/2006/relationships/image" Target="media/image126.jpeg"/><Relationship Id="rId125" Type="http://schemas.openxmlformats.org/officeDocument/2006/relationships/image" Target="media/image125.jpeg"/><Relationship Id="rId124" Type="http://schemas.openxmlformats.org/officeDocument/2006/relationships/image" Target="media/image124.jpeg"/><Relationship Id="rId123" Type="http://schemas.openxmlformats.org/officeDocument/2006/relationships/image" Target="media/image123.jpeg"/><Relationship Id="rId122" Type="http://schemas.openxmlformats.org/officeDocument/2006/relationships/image" Target="media/image122.jpeg"/><Relationship Id="rId121" Type="http://schemas.openxmlformats.org/officeDocument/2006/relationships/image" Target="media/image121.jpeg"/><Relationship Id="rId120" Type="http://schemas.openxmlformats.org/officeDocument/2006/relationships/image" Target="media/image120.jpeg"/><Relationship Id="rId12" Type="http://schemas.openxmlformats.org/officeDocument/2006/relationships/image" Target="media/image12.jpeg"/><Relationship Id="rId119" Type="http://schemas.openxmlformats.org/officeDocument/2006/relationships/image" Target="media/image119.jpeg"/><Relationship Id="rId118" Type="http://schemas.openxmlformats.org/officeDocument/2006/relationships/image" Target="media/image118.jpeg"/><Relationship Id="rId117" Type="http://schemas.openxmlformats.org/officeDocument/2006/relationships/image" Target="media/image117.jpeg"/><Relationship Id="rId116" Type="http://schemas.openxmlformats.org/officeDocument/2006/relationships/image" Target="media/image116.jpeg"/><Relationship Id="rId115" Type="http://schemas.openxmlformats.org/officeDocument/2006/relationships/image" Target="media/image115.jpeg"/><Relationship Id="rId114" Type="http://schemas.openxmlformats.org/officeDocument/2006/relationships/image" Target="media/image114.jpeg"/><Relationship Id="rId113" Type="http://schemas.openxmlformats.org/officeDocument/2006/relationships/image" Target="media/image113.jpeg"/><Relationship Id="rId112" Type="http://schemas.openxmlformats.org/officeDocument/2006/relationships/image" Target="media/image112.jpeg"/><Relationship Id="rId111" Type="http://schemas.openxmlformats.org/officeDocument/2006/relationships/image" Target="media/image111.jpeg"/><Relationship Id="rId110" Type="http://schemas.openxmlformats.org/officeDocument/2006/relationships/image" Target="media/image110.jpeg"/><Relationship Id="rId11" Type="http://schemas.openxmlformats.org/officeDocument/2006/relationships/image" Target="media/image11.jpeg"/><Relationship Id="rId109" Type="http://schemas.openxmlformats.org/officeDocument/2006/relationships/image" Target="media/image109.jpeg"/><Relationship Id="rId108" Type="http://schemas.openxmlformats.org/officeDocument/2006/relationships/image" Target="media/image108.jpeg"/><Relationship Id="rId107" Type="http://schemas.openxmlformats.org/officeDocument/2006/relationships/image" Target="media/image107.jpeg"/><Relationship Id="rId106" Type="http://schemas.openxmlformats.org/officeDocument/2006/relationships/image" Target="media/image106.jpeg"/><Relationship Id="rId105" Type="http://schemas.openxmlformats.org/officeDocument/2006/relationships/image" Target="media/image105.jpeg"/><Relationship Id="rId104" Type="http://schemas.openxmlformats.org/officeDocument/2006/relationships/image" Target="media/image104.jpeg"/><Relationship Id="rId103" Type="http://schemas.openxmlformats.org/officeDocument/2006/relationships/image" Target="media/image103.jpeg"/><Relationship Id="rId102" Type="http://schemas.openxmlformats.org/officeDocument/2006/relationships/image" Target="media/image102.jpeg"/><Relationship Id="rId101" Type="http://schemas.openxmlformats.org/officeDocument/2006/relationships/image" Target="media/image101.jpeg"/><Relationship Id="rId100" Type="http://schemas.openxmlformats.org/officeDocument/2006/relationships/image" Target="media/image100.jpeg"/><Relationship Id="rId10" Type="http://schemas.openxmlformats.org/officeDocument/2006/relationships/image" Target="media/image10.jpeg"/><Relationship Id="rId1" Type="http://schemas.openxmlformats.org/officeDocument/2006/relationships/image" Target="media/image1.jpeg"/></Relationships>
</file>

<file path=xl/_rels/workbook.xml.rels><?xml version="1.0" encoding="UTF-8" standalone="yes"?>
<Relationships xmlns="http://schemas.openxmlformats.org/package/2006/relationships"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880"/>
  <sheetViews>
    <sheetView tabSelected="1" workbookViewId="0">
      <selection activeCell="B4" sqref="B4"/>
    </sheetView>
  </sheetViews>
  <sheetFormatPr defaultColWidth="9" defaultRowHeight="13.5"/>
  <cols>
    <col min="1" max="1" width="8.875" style="1" customWidth="1"/>
    <col min="2" max="2" width="45.375" customWidth="1"/>
    <col min="3" max="3" width="10.125" customWidth="1"/>
    <col min="4" max="4" width="11.25" customWidth="1"/>
    <col min="5" max="5" width="8.875" customWidth="1"/>
    <col min="6" max="6" width="17.875" customWidth="1"/>
    <col min="7" max="7" width="12.25" customWidth="1"/>
    <col min="8" max="8" width="8.875" customWidth="1"/>
    <col min="9" max="9" width="10" customWidth="1"/>
    <col min="10" max="10" width="7" customWidth="1"/>
    <col min="11" max="11" width="8.875" customWidth="1"/>
    <col min="12" max="12" width="9.875" customWidth="1"/>
    <col min="13" max="13" width="5.375" customWidth="1"/>
    <col min="14" max="14" width="24.5" customWidth="1"/>
    <col min="15" max="15" width="13.75" customWidth="1"/>
    <col min="16" max="16" width="11.5" customWidth="1"/>
    <col min="17" max="17" width="8.875" customWidth="1"/>
    <col min="18" max="18" width="255.625" customWidth="1"/>
    <col min="19" max="19" width="22.625" customWidth="1"/>
  </cols>
  <sheetData>
    <row r="1" spans="1:19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</row>
    <row r="2" ht="55" customHeight="1" spans="1:19">
      <c r="A2" s="1" t="str">
        <f>_xlfn.DISPIMG("ID_3EAD7C3389F94904A27F14D4FEF2D31A",1)</f>
        <v>=DISPIMG("ID_3EAD7C3389F94904A27F14D4FEF2D31A",1)</v>
      </c>
      <c r="B2" t="s">
        <v>19</v>
      </c>
      <c r="C2" t="s">
        <v>20</v>
      </c>
      <c r="D2" t="s">
        <v>21</v>
      </c>
      <c r="E2" t="s">
        <v>22</v>
      </c>
      <c r="F2" t="s">
        <v>23</v>
      </c>
      <c r="G2" t="s">
        <v>24</v>
      </c>
      <c r="H2" t="s">
        <v>22</v>
      </c>
      <c r="I2" t="s">
        <v>25</v>
      </c>
      <c r="J2" t="s">
        <v>26</v>
      </c>
      <c r="K2" t="s">
        <v>27</v>
      </c>
      <c r="L2" t="s">
        <v>28</v>
      </c>
      <c r="M2" t="s">
        <v>29</v>
      </c>
      <c r="N2" t="s">
        <v>30</v>
      </c>
      <c r="O2" t="s">
        <v>31</v>
      </c>
      <c r="P2" t="s">
        <v>32</v>
      </c>
      <c r="Q2" t="s">
        <v>33</v>
      </c>
      <c r="R2" t="s">
        <v>34</v>
      </c>
      <c r="S2" t="s">
        <v>35</v>
      </c>
    </row>
    <row r="3" ht="55" customHeight="1" spans="1:19">
      <c r="A3" s="1" t="str">
        <f>_xlfn.DISPIMG("ID_F2265C2E816B4C87941F0DA300582887",1)</f>
        <v>=DISPIMG("ID_F2265C2E816B4C87941F0DA300582887",1)</v>
      </c>
      <c r="B3" t="s">
        <v>36</v>
      </c>
      <c r="C3" t="s">
        <v>37</v>
      </c>
      <c r="D3" t="s">
        <v>38</v>
      </c>
      <c r="E3" t="s">
        <v>39</v>
      </c>
      <c r="F3" t="s">
        <v>40</v>
      </c>
      <c r="G3" t="s">
        <v>41</v>
      </c>
      <c r="H3" t="s">
        <v>39</v>
      </c>
      <c r="I3" t="s">
        <v>42</v>
      </c>
      <c r="J3" t="s">
        <v>26</v>
      </c>
      <c r="K3" t="s">
        <v>27</v>
      </c>
      <c r="L3" t="s">
        <v>28</v>
      </c>
      <c r="M3" t="s">
        <v>29</v>
      </c>
      <c r="N3" t="s">
        <v>30</v>
      </c>
      <c r="O3" t="s">
        <v>31</v>
      </c>
      <c r="P3" t="s">
        <v>43</v>
      </c>
      <c r="Q3" t="s">
        <v>44</v>
      </c>
      <c r="R3" t="s">
        <v>45</v>
      </c>
      <c r="S3" t="s">
        <v>46</v>
      </c>
    </row>
    <row r="4" ht="55" customHeight="1" spans="1:19">
      <c r="A4" s="1" t="str">
        <f>_xlfn.DISPIMG("ID_C4310FD207FE4E92ACD418CD98E6EB59",1)</f>
        <v>=DISPIMG("ID_C4310FD207FE4E92ACD418CD98E6EB59",1)</v>
      </c>
      <c r="B4" t="s">
        <v>47</v>
      </c>
      <c r="C4" t="s">
        <v>48</v>
      </c>
      <c r="D4" t="s">
        <v>49</v>
      </c>
      <c r="E4" t="s">
        <v>50</v>
      </c>
      <c r="F4" t="s">
        <v>51</v>
      </c>
      <c r="G4" t="s">
        <v>52</v>
      </c>
      <c r="H4" t="s">
        <v>50</v>
      </c>
      <c r="I4" t="s">
        <v>25</v>
      </c>
      <c r="J4" t="s">
        <v>26</v>
      </c>
      <c r="K4" t="s">
        <v>27</v>
      </c>
      <c r="L4" t="s">
        <v>53</v>
      </c>
      <c r="M4" t="s">
        <v>29</v>
      </c>
      <c r="N4" t="s">
        <v>30</v>
      </c>
      <c r="O4" t="s">
        <v>31</v>
      </c>
      <c r="P4" t="s">
        <v>54</v>
      </c>
      <c r="Q4" t="s">
        <v>55</v>
      </c>
      <c r="R4" t="s">
        <v>56</v>
      </c>
      <c r="S4" t="s">
        <v>57</v>
      </c>
    </row>
    <row r="5" ht="55" customHeight="1" spans="1:19">
      <c r="A5" s="1" t="str">
        <f>_xlfn.DISPIMG("ID_9D6DF4A943A34886932A6D96DE1E1468",1)</f>
        <v>=DISPIMG("ID_9D6DF4A943A34886932A6D96DE1E1468",1)</v>
      </c>
      <c r="B5" t="s">
        <v>58</v>
      </c>
      <c r="C5" t="s">
        <v>59</v>
      </c>
      <c r="D5" t="s">
        <v>60</v>
      </c>
      <c r="E5" t="s">
        <v>61</v>
      </c>
      <c r="F5" t="s">
        <v>51</v>
      </c>
      <c r="G5" t="s">
        <v>62</v>
      </c>
      <c r="H5" t="s">
        <v>63</v>
      </c>
      <c r="I5" t="s">
        <v>42</v>
      </c>
      <c r="J5" t="s">
        <v>26</v>
      </c>
      <c r="K5" t="s">
        <v>27</v>
      </c>
      <c r="L5" t="s">
        <v>53</v>
      </c>
      <c r="M5" t="s">
        <v>29</v>
      </c>
      <c r="N5" t="s">
        <v>64</v>
      </c>
      <c r="O5" t="s">
        <v>31</v>
      </c>
      <c r="P5" t="s">
        <v>65</v>
      </c>
      <c r="Q5" t="s">
        <v>66</v>
      </c>
      <c r="R5" t="s">
        <v>67</v>
      </c>
      <c r="S5" t="s">
        <v>68</v>
      </c>
    </row>
    <row r="6" ht="55" customHeight="1" spans="1:19">
      <c r="A6" s="1" t="str">
        <f>_xlfn.DISPIMG("ID_47431D385F8C4F8798EF3258596C6B8F",1)</f>
        <v>=DISPIMG("ID_47431D385F8C4F8798EF3258596C6B8F",1)</v>
      </c>
      <c r="B6" t="s">
        <v>69</v>
      </c>
      <c r="C6" t="s">
        <v>70</v>
      </c>
      <c r="D6" t="s">
        <v>71</v>
      </c>
      <c r="E6" t="s">
        <v>72</v>
      </c>
      <c r="F6" t="s">
        <v>40</v>
      </c>
      <c r="G6" t="s">
        <v>73</v>
      </c>
      <c r="H6" t="s">
        <v>72</v>
      </c>
      <c r="I6" t="s">
        <v>25</v>
      </c>
      <c r="J6" t="s">
        <v>26</v>
      </c>
      <c r="K6" t="s">
        <v>27</v>
      </c>
      <c r="L6" t="s">
        <v>74</v>
      </c>
      <c r="M6" t="s">
        <v>29</v>
      </c>
      <c r="N6" t="s">
        <v>30</v>
      </c>
      <c r="O6" t="s">
        <v>31</v>
      </c>
      <c r="P6" t="s">
        <v>75</v>
      </c>
      <c r="Q6" t="s">
        <v>76</v>
      </c>
      <c r="R6" t="s">
        <v>77</v>
      </c>
      <c r="S6" t="s">
        <v>78</v>
      </c>
    </row>
    <row r="7" ht="55" customHeight="1" spans="1:19">
      <c r="A7" s="1" t="str">
        <f>_xlfn.DISPIMG("ID_CF68F903623E496B9A84801E1CEC76B3",1)</f>
        <v>=DISPIMG("ID_CF68F903623E496B9A84801E1CEC76B3",1)</v>
      </c>
      <c r="B7" t="s">
        <v>79</v>
      </c>
      <c r="C7" t="s">
        <v>80</v>
      </c>
      <c r="D7" t="s">
        <v>81</v>
      </c>
      <c r="E7" t="s">
        <v>82</v>
      </c>
      <c r="F7" t="s">
        <v>40</v>
      </c>
      <c r="G7" t="s">
        <v>83</v>
      </c>
      <c r="H7" t="s">
        <v>84</v>
      </c>
      <c r="I7" t="s">
        <v>42</v>
      </c>
      <c r="J7" t="s">
        <v>26</v>
      </c>
      <c r="K7" t="s">
        <v>27</v>
      </c>
      <c r="L7" t="s">
        <v>28</v>
      </c>
      <c r="M7" t="s">
        <v>29</v>
      </c>
      <c r="N7" t="s">
        <v>30</v>
      </c>
      <c r="O7" t="s">
        <v>31</v>
      </c>
      <c r="P7" t="s">
        <v>75</v>
      </c>
      <c r="Q7" t="s">
        <v>85</v>
      </c>
      <c r="R7" t="s">
        <v>86</v>
      </c>
      <c r="S7" t="s">
        <v>87</v>
      </c>
    </row>
    <row r="8" ht="55" customHeight="1" spans="1:19">
      <c r="A8" s="1" t="str">
        <f>_xlfn.DISPIMG("ID_9AACABA56F324357B1C1A3A8BB2D2652",1)</f>
        <v>=DISPIMG("ID_9AACABA56F324357B1C1A3A8BB2D2652",1)</v>
      </c>
      <c r="B8" t="s">
        <v>88</v>
      </c>
      <c r="C8" t="s">
        <v>89</v>
      </c>
      <c r="D8" t="s">
        <v>90</v>
      </c>
      <c r="E8" t="s">
        <v>39</v>
      </c>
      <c r="F8" t="s">
        <v>91</v>
      </c>
      <c r="G8" t="s">
        <v>92</v>
      </c>
      <c r="H8" t="s">
        <v>39</v>
      </c>
      <c r="I8" t="s">
        <v>25</v>
      </c>
      <c r="J8" t="s">
        <v>26</v>
      </c>
      <c r="K8" t="s">
        <v>27</v>
      </c>
      <c r="L8" t="s">
        <v>28</v>
      </c>
      <c r="M8" t="s">
        <v>93</v>
      </c>
      <c r="N8" t="s">
        <v>30</v>
      </c>
      <c r="O8" t="s">
        <v>31</v>
      </c>
      <c r="P8" t="s">
        <v>94</v>
      </c>
      <c r="Q8" t="s">
        <v>76</v>
      </c>
      <c r="R8" t="s">
        <v>95</v>
      </c>
      <c r="S8" t="s">
        <v>96</v>
      </c>
    </row>
    <row r="9" ht="55" customHeight="1" spans="1:19">
      <c r="A9" s="1" t="str">
        <f>_xlfn.DISPIMG("ID_EC588837ADA7415F9CB62D0DDB6328CE",1)</f>
        <v>=DISPIMG("ID_EC588837ADA7415F9CB62D0DDB6328CE",1)</v>
      </c>
      <c r="B9" t="s">
        <v>97</v>
      </c>
      <c r="C9" t="s">
        <v>98</v>
      </c>
      <c r="D9" t="s">
        <v>99</v>
      </c>
      <c r="E9" t="s">
        <v>100</v>
      </c>
      <c r="F9" t="s">
        <v>51</v>
      </c>
      <c r="G9" t="s">
        <v>101</v>
      </c>
      <c r="H9" t="s">
        <v>100</v>
      </c>
      <c r="I9" t="s">
        <v>42</v>
      </c>
      <c r="J9" t="s">
        <v>26</v>
      </c>
      <c r="K9" t="s">
        <v>27</v>
      </c>
      <c r="L9" t="s">
        <v>28</v>
      </c>
      <c r="M9" t="s">
        <v>29</v>
      </c>
      <c r="N9" t="s">
        <v>30</v>
      </c>
      <c r="O9" t="s">
        <v>31</v>
      </c>
      <c r="P9" t="s">
        <v>102</v>
      </c>
      <c r="Q9" t="s">
        <v>103</v>
      </c>
      <c r="R9" t="s">
        <v>104</v>
      </c>
      <c r="S9" t="s">
        <v>105</v>
      </c>
    </row>
    <row r="10" ht="55" customHeight="1" spans="1:19">
      <c r="A10" s="1" t="str">
        <f>_xlfn.DISPIMG("ID_C0BB67291E8D43E385016F5E5DEBF449",1)</f>
        <v>=DISPIMG("ID_C0BB67291E8D43E385016F5E5DEBF449",1)</v>
      </c>
      <c r="B10" t="s">
        <v>106</v>
      </c>
      <c r="C10" t="s">
        <v>107</v>
      </c>
      <c r="D10" t="s">
        <v>108</v>
      </c>
      <c r="E10" t="s">
        <v>109</v>
      </c>
      <c r="F10" t="s">
        <v>40</v>
      </c>
      <c r="G10" t="s">
        <v>110</v>
      </c>
      <c r="H10" t="s">
        <v>111</v>
      </c>
      <c r="I10" t="s">
        <v>42</v>
      </c>
      <c r="J10" t="s">
        <v>26</v>
      </c>
      <c r="K10" t="s">
        <v>27</v>
      </c>
      <c r="L10" t="s">
        <v>28</v>
      </c>
      <c r="M10" t="s">
        <v>29</v>
      </c>
      <c r="N10" t="s">
        <v>64</v>
      </c>
      <c r="O10" t="s">
        <v>31</v>
      </c>
      <c r="P10" t="s">
        <v>112</v>
      </c>
      <c r="Q10" t="s">
        <v>113</v>
      </c>
      <c r="R10" t="s">
        <v>114</v>
      </c>
      <c r="S10" t="s">
        <v>115</v>
      </c>
    </row>
    <row r="11" ht="55" customHeight="1" spans="1:19">
      <c r="A11" s="1" t="str">
        <f>_xlfn.DISPIMG("ID_FA9074B77AAC4DD1A6D8370EEAD7BAC6",1)</f>
        <v>=DISPIMG("ID_FA9074B77AAC4DD1A6D8370EEAD7BAC6",1)</v>
      </c>
      <c r="B11" t="s">
        <v>116</v>
      </c>
      <c r="C11" t="s">
        <v>117</v>
      </c>
      <c r="D11" t="s">
        <v>118</v>
      </c>
      <c r="E11" t="s">
        <v>119</v>
      </c>
      <c r="F11" t="s">
        <v>40</v>
      </c>
      <c r="G11" t="s">
        <v>120</v>
      </c>
      <c r="H11" t="s">
        <v>119</v>
      </c>
      <c r="I11" t="s">
        <v>42</v>
      </c>
      <c r="J11" t="s">
        <v>26</v>
      </c>
      <c r="K11" t="s">
        <v>27</v>
      </c>
      <c r="L11" t="s">
        <v>28</v>
      </c>
      <c r="M11" t="s">
        <v>29</v>
      </c>
      <c r="N11" t="s">
        <v>30</v>
      </c>
      <c r="O11" t="s">
        <v>31</v>
      </c>
      <c r="P11" t="s">
        <v>121</v>
      </c>
      <c r="Q11" t="s">
        <v>122</v>
      </c>
      <c r="R11" t="s">
        <v>123</v>
      </c>
      <c r="S11" t="s">
        <v>124</v>
      </c>
    </row>
    <row r="12" ht="55" customHeight="1" spans="1:19">
      <c r="A12" s="1" t="str">
        <f>_xlfn.DISPIMG("ID_F9B09B1AFBB247BF85FD052899E9184A",1)</f>
        <v>=DISPIMG("ID_F9B09B1AFBB247BF85FD052899E9184A",1)</v>
      </c>
      <c r="B12" t="s">
        <v>125</v>
      </c>
      <c r="C12" t="s">
        <v>126</v>
      </c>
      <c r="D12" t="s">
        <v>118</v>
      </c>
      <c r="E12" t="s">
        <v>119</v>
      </c>
      <c r="F12" t="s">
        <v>91</v>
      </c>
      <c r="G12" t="s">
        <v>127</v>
      </c>
      <c r="H12" t="s">
        <v>119</v>
      </c>
      <c r="I12" t="s">
        <v>42</v>
      </c>
      <c r="J12" t="s">
        <v>26</v>
      </c>
      <c r="K12" t="s">
        <v>27</v>
      </c>
      <c r="L12" t="s">
        <v>28</v>
      </c>
      <c r="M12" t="s">
        <v>93</v>
      </c>
      <c r="N12" t="s">
        <v>64</v>
      </c>
      <c r="O12" t="s">
        <v>31</v>
      </c>
      <c r="P12" t="s">
        <v>128</v>
      </c>
      <c r="Q12" t="s">
        <v>129</v>
      </c>
      <c r="R12" t="s">
        <v>130</v>
      </c>
      <c r="S12" t="s">
        <v>131</v>
      </c>
    </row>
    <row r="13" ht="55" customHeight="1" spans="1:19">
      <c r="A13" s="1" t="str">
        <f>_xlfn.DISPIMG("ID_9DC9B15A5BF349EDAA5800F1B2BEBBD1",1)</f>
        <v>=DISPIMG("ID_9DC9B15A5BF349EDAA5800F1B2BEBBD1",1)</v>
      </c>
      <c r="B13" t="s">
        <v>132</v>
      </c>
      <c r="C13" t="s">
        <v>133</v>
      </c>
      <c r="D13" t="s">
        <v>134</v>
      </c>
      <c r="E13" t="s">
        <v>135</v>
      </c>
      <c r="F13" t="s">
        <v>91</v>
      </c>
      <c r="G13" t="s">
        <v>136</v>
      </c>
      <c r="H13" t="s">
        <v>135</v>
      </c>
      <c r="I13" t="s">
        <v>137</v>
      </c>
      <c r="J13" t="s">
        <v>26</v>
      </c>
      <c r="K13" t="s">
        <v>27</v>
      </c>
      <c r="L13" t="s">
        <v>28</v>
      </c>
      <c r="M13" t="s">
        <v>93</v>
      </c>
      <c r="N13" t="s">
        <v>30</v>
      </c>
      <c r="O13" t="s">
        <v>31</v>
      </c>
      <c r="P13" t="s">
        <v>138</v>
      </c>
      <c r="Q13" t="s">
        <v>76</v>
      </c>
      <c r="R13" t="s">
        <v>139</v>
      </c>
      <c r="S13" t="s">
        <v>140</v>
      </c>
    </row>
    <row r="14" ht="55" customHeight="1" spans="1:19">
      <c r="A14" s="1" t="str">
        <f>_xlfn.DISPIMG("ID_93360C98D9E8481190C04CE23B73D800",1)</f>
        <v>=DISPIMG("ID_93360C98D9E8481190C04CE23B73D800",1)</v>
      </c>
      <c r="B14" t="s">
        <v>141</v>
      </c>
      <c r="C14" t="s">
        <v>142</v>
      </c>
      <c r="D14" t="s">
        <v>143</v>
      </c>
      <c r="E14" t="s">
        <v>144</v>
      </c>
      <c r="F14" t="s">
        <v>40</v>
      </c>
      <c r="G14" t="s">
        <v>145</v>
      </c>
      <c r="H14" t="s">
        <v>144</v>
      </c>
      <c r="I14" t="s">
        <v>42</v>
      </c>
      <c r="J14" t="s">
        <v>26</v>
      </c>
      <c r="K14" t="s">
        <v>27</v>
      </c>
      <c r="L14" t="s">
        <v>74</v>
      </c>
      <c r="M14" t="s">
        <v>29</v>
      </c>
      <c r="N14" t="s">
        <v>30</v>
      </c>
      <c r="O14" t="s">
        <v>31</v>
      </c>
      <c r="P14" t="s">
        <v>146</v>
      </c>
      <c r="Q14" t="s">
        <v>122</v>
      </c>
      <c r="R14" t="s">
        <v>147</v>
      </c>
      <c r="S14" t="s">
        <v>148</v>
      </c>
    </row>
    <row r="15" ht="55" customHeight="1" spans="1:19">
      <c r="A15" s="1" t="str">
        <f>_xlfn.DISPIMG("ID_3440708E6CA34F31B8AEB91214D063C6",1)</f>
        <v>=DISPIMG("ID_3440708E6CA34F31B8AEB91214D063C6",1)</v>
      </c>
      <c r="B15" t="s">
        <v>149</v>
      </c>
      <c r="C15" t="s">
        <v>150</v>
      </c>
      <c r="D15" t="s">
        <v>151</v>
      </c>
      <c r="E15" t="s">
        <v>63</v>
      </c>
      <c r="F15" t="s">
        <v>51</v>
      </c>
      <c r="G15" t="s">
        <v>152</v>
      </c>
      <c r="H15" t="s">
        <v>63</v>
      </c>
      <c r="I15" t="s">
        <v>25</v>
      </c>
      <c r="J15" t="s">
        <v>26</v>
      </c>
      <c r="K15" t="s">
        <v>27</v>
      </c>
      <c r="L15" t="s">
        <v>74</v>
      </c>
      <c r="M15" t="s">
        <v>29</v>
      </c>
      <c r="N15" t="s">
        <v>30</v>
      </c>
      <c r="O15" t="s">
        <v>153</v>
      </c>
      <c r="P15" t="s">
        <v>154</v>
      </c>
      <c r="Q15" t="s">
        <v>155</v>
      </c>
      <c r="R15" t="s">
        <v>156</v>
      </c>
      <c r="S15" t="s">
        <v>157</v>
      </c>
    </row>
    <row r="16" ht="55" customHeight="1" spans="1:19">
      <c r="A16" s="1" t="str">
        <f>_xlfn.DISPIMG("ID_0A8B5C5CAAED4C33AFA95D3A25E226B9",1)</f>
        <v>=DISPIMG("ID_0A8B5C5CAAED4C33AFA95D3A25E226B9",1)</v>
      </c>
      <c r="B16" t="s">
        <v>158</v>
      </c>
      <c r="C16" t="s">
        <v>159</v>
      </c>
      <c r="D16" t="s">
        <v>160</v>
      </c>
      <c r="E16" t="s">
        <v>161</v>
      </c>
      <c r="F16" t="s">
        <v>162</v>
      </c>
      <c r="G16" t="s">
        <v>163</v>
      </c>
      <c r="H16" t="s">
        <v>164</v>
      </c>
      <c r="I16" t="s">
        <v>165</v>
      </c>
      <c r="J16" t="s">
        <v>26</v>
      </c>
      <c r="K16" t="s">
        <v>27</v>
      </c>
      <c r="L16" t="s">
        <v>28</v>
      </c>
      <c r="M16" t="s">
        <v>166</v>
      </c>
      <c r="N16" t="s">
        <v>30</v>
      </c>
      <c r="O16" t="s">
        <v>31</v>
      </c>
      <c r="P16" t="s">
        <v>154</v>
      </c>
      <c r="Q16" t="s">
        <v>167</v>
      </c>
      <c r="R16" t="s">
        <v>168</v>
      </c>
      <c r="S16" t="s">
        <v>169</v>
      </c>
    </row>
    <row r="17" ht="55" customHeight="1" spans="1:19">
      <c r="A17" s="1" t="str">
        <f>_xlfn.DISPIMG("ID_8CB50535054F494B9CF5279A0D4B4FA2",1)</f>
        <v>=DISPIMG("ID_8CB50535054F494B9CF5279A0D4B4FA2",1)</v>
      </c>
      <c r="B17" t="s">
        <v>170</v>
      </c>
      <c r="C17" t="s">
        <v>171</v>
      </c>
      <c r="D17" t="s">
        <v>172</v>
      </c>
      <c r="E17" t="s">
        <v>164</v>
      </c>
      <c r="F17" t="s">
        <v>173</v>
      </c>
      <c r="G17" t="s">
        <v>174</v>
      </c>
      <c r="H17" t="s">
        <v>164</v>
      </c>
      <c r="I17" t="s">
        <v>175</v>
      </c>
      <c r="J17" t="s">
        <v>26</v>
      </c>
      <c r="K17" t="s">
        <v>27</v>
      </c>
      <c r="L17" t="s">
        <v>28</v>
      </c>
      <c r="M17" t="s">
        <v>93</v>
      </c>
      <c r="N17" t="s">
        <v>64</v>
      </c>
      <c r="O17" t="s">
        <v>31</v>
      </c>
      <c r="P17" t="s">
        <v>146</v>
      </c>
      <c r="Q17" t="s">
        <v>113</v>
      </c>
      <c r="R17" t="s">
        <v>176</v>
      </c>
      <c r="S17" t="s">
        <v>177</v>
      </c>
    </row>
    <row r="18" ht="55" customHeight="1" spans="1:19">
      <c r="A18" s="1" t="str">
        <f>_xlfn.DISPIMG("ID_4D0553B03F3848AAAA00F02BA52B9377",1)</f>
        <v>=DISPIMG("ID_4D0553B03F3848AAAA00F02BA52B9377",1)</v>
      </c>
      <c r="B18" t="s">
        <v>178</v>
      </c>
      <c r="C18" t="s">
        <v>179</v>
      </c>
      <c r="D18" t="s">
        <v>180</v>
      </c>
      <c r="E18" t="s">
        <v>22</v>
      </c>
      <c r="F18" t="s">
        <v>51</v>
      </c>
      <c r="G18" t="s">
        <v>181</v>
      </c>
      <c r="H18" t="s">
        <v>22</v>
      </c>
      <c r="I18" t="s">
        <v>42</v>
      </c>
      <c r="J18" t="s">
        <v>26</v>
      </c>
      <c r="K18" t="s">
        <v>27</v>
      </c>
      <c r="L18" t="s">
        <v>74</v>
      </c>
      <c r="M18" t="s">
        <v>29</v>
      </c>
      <c r="N18" t="s">
        <v>30</v>
      </c>
      <c r="O18" t="s">
        <v>31</v>
      </c>
      <c r="P18" t="s">
        <v>182</v>
      </c>
      <c r="Q18" t="s">
        <v>183</v>
      </c>
      <c r="R18" t="s">
        <v>184</v>
      </c>
      <c r="S18" t="s">
        <v>185</v>
      </c>
    </row>
    <row r="19" ht="55" customHeight="1" spans="1:19">
      <c r="A19" s="1" t="str">
        <f>_xlfn.DISPIMG("ID_4919DE7267944815BD512BA035BD243D",1)</f>
        <v>=DISPIMG("ID_4919DE7267944815BD512BA035BD243D",1)</v>
      </c>
      <c r="B19" t="s">
        <v>186</v>
      </c>
      <c r="C19" t="s">
        <v>187</v>
      </c>
      <c r="D19" t="s">
        <v>188</v>
      </c>
      <c r="E19" t="s">
        <v>144</v>
      </c>
      <c r="F19" t="s">
        <v>162</v>
      </c>
      <c r="G19" t="s">
        <v>41</v>
      </c>
      <c r="H19" t="s">
        <v>144</v>
      </c>
      <c r="I19" t="s">
        <v>189</v>
      </c>
      <c r="J19" t="s">
        <v>26</v>
      </c>
      <c r="K19" t="s">
        <v>27</v>
      </c>
      <c r="L19" t="s">
        <v>28</v>
      </c>
      <c r="M19" t="s">
        <v>166</v>
      </c>
      <c r="N19" t="s">
        <v>64</v>
      </c>
      <c r="O19" t="s">
        <v>31</v>
      </c>
      <c r="P19" t="s">
        <v>128</v>
      </c>
      <c r="Q19" t="s">
        <v>190</v>
      </c>
      <c r="R19" t="s">
        <v>191</v>
      </c>
      <c r="S19" t="s">
        <v>192</v>
      </c>
    </row>
    <row r="20" ht="55" customHeight="1" spans="1:19">
      <c r="A20" s="1" t="str">
        <f>_xlfn.DISPIMG("ID_40D9E8395DE6417FB9CD5FB407A7FD87",1)</f>
        <v>=DISPIMG("ID_40D9E8395DE6417FB9CD5FB407A7FD87",1)</v>
      </c>
      <c r="B20" t="s">
        <v>193</v>
      </c>
      <c r="C20" t="s">
        <v>194</v>
      </c>
      <c r="D20" t="s">
        <v>60</v>
      </c>
      <c r="E20" t="s">
        <v>195</v>
      </c>
      <c r="F20" t="s">
        <v>173</v>
      </c>
      <c r="G20" t="s">
        <v>196</v>
      </c>
      <c r="H20" t="s">
        <v>197</v>
      </c>
      <c r="I20" t="s">
        <v>175</v>
      </c>
      <c r="J20" t="s">
        <v>26</v>
      </c>
      <c r="K20" t="s">
        <v>27</v>
      </c>
      <c r="L20" t="s">
        <v>28</v>
      </c>
      <c r="M20" t="s">
        <v>93</v>
      </c>
      <c r="N20" t="s">
        <v>64</v>
      </c>
      <c r="O20" t="s">
        <v>31</v>
      </c>
      <c r="P20" t="s">
        <v>198</v>
      </c>
      <c r="Q20" t="s">
        <v>199</v>
      </c>
      <c r="R20" t="s">
        <v>147</v>
      </c>
      <c r="S20" t="s">
        <v>200</v>
      </c>
    </row>
    <row r="21" ht="55" customHeight="1" spans="1:19">
      <c r="A21" s="1" t="str">
        <f>_xlfn.DISPIMG("ID_F2FD8CC687954C388E89B8E399560C70",1)</f>
        <v>=DISPIMG("ID_F2FD8CC687954C388E89B8E399560C70",1)</v>
      </c>
      <c r="B21" t="s">
        <v>201</v>
      </c>
      <c r="C21" t="s">
        <v>202</v>
      </c>
      <c r="D21" t="s">
        <v>203</v>
      </c>
      <c r="E21" t="s">
        <v>204</v>
      </c>
      <c r="F21" t="s">
        <v>40</v>
      </c>
      <c r="G21" t="s">
        <v>205</v>
      </c>
      <c r="H21" t="s">
        <v>197</v>
      </c>
      <c r="I21" t="s">
        <v>42</v>
      </c>
      <c r="J21" t="s">
        <v>26</v>
      </c>
      <c r="K21" t="s">
        <v>27</v>
      </c>
      <c r="L21" t="s">
        <v>74</v>
      </c>
      <c r="M21" t="s">
        <v>29</v>
      </c>
      <c r="N21" t="s">
        <v>30</v>
      </c>
      <c r="O21" t="s">
        <v>31</v>
      </c>
      <c r="P21" t="s">
        <v>206</v>
      </c>
      <c r="Q21" t="s">
        <v>85</v>
      </c>
      <c r="R21" t="s">
        <v>86</v>
      </c>
      <c r="S21" t="s">
        <v>207</v>
      </c>
    </row>
    <row r="22" ht="55" customHeight="1" spans="1:19">
      <c r="A22" s="1" t="str">
        <f>_xlfn.DISPIMG("ID_FD663705404540C387530EFD16E083EA",1)</f>
        <v>=DISPIMG("ID_FD663705404540C387530EFD16E083EA",1)</v>
      </c>
      <c r="B22" t="s">
        <v>208</v>
      </c>
      <c r="C22" t="s">
        <v>209</v>
      </c>
      <c r="D22" t="s">
        <v>210</v>
      </c>
      <c r="E22" t="s">
        <v>211</v>
      </c>
      <c r="F22" t="s">
        <v>212</v>
      </c>
      <c r="G22" t="s">
        <v>41</v>
      </c>
      <c r="H22" t="s">
        <v>211</v>
      </c>
      <c r="I22" t="s">
        <v>165</v>
      </c>
      <c r="J22" t="s">
        <v>26</v>
      </c>
      <c r="K22" t="s">
        <v>27</v>
      </c>
      <c r="L22" t="s">
        <v>28</v>
      </c>
      <c r="M22" t="s">
        <v>93</v>
      </c>
      <c r="N22" t="s">
        <v>30</v>
      </c>
      <c r="O22" t="s">
        <v>31</v>
      </c>
      <c r="P22" t="s">
        <v>154</v>
      </c>
      <c r="Q22" t="s">
        <v>76</v>
      </c>
      <c r="R22" t="s">
        <v>191</v>
      </c>
      <c r="S22" t="s">
        <v>213</v>
      </c>
    </row>
    <row r="23" ht="55" customHeight="1" spans="1:19">
      <c r="A23" s="1" t="str">
        <f>_xlfn.DISPIMG("ID_199C670C1115451CA5D5A9AA59C2E381",1)</f>
        <v>=DISPIMG("ID_199C670C1115451CA5D5A9AA59C2E381",1)</v>
      </c>
      <c r="B23" t="s">
        <v>214</v>
      </c>
      <c r="C23" t="s">
        <v>215</v>
      </c>
      <c r="D23" t="s">
        <v>108</v>
      </c>
      <c r="E23" t="s">
        <v>109</v>
      </c>
      <c r="F23" t="s">
        <v>91</v>
      </c>
      <c r="G23" t="s">
        <v>216</v>
      </c>
      <c r="H23" t="s">
        <v>111</v>
      </c>
      <c r="I23" t="s">
        <v>137</v>
      </c>
      <c r="J23" t="s">
        <v>26</v>
      </c>
      <c r="K23" t="s">
        <v>27</v>
      </c>
      <c r="L23" t="s">
        <v>28</v>
      </c>
      <c r="M23" t="s">
        <v>93</v>
      </c>
      <c r="N23" t="s">
        <v>30</v>
      </c>
      <c r="O23" t="s">
        <v>31</v>
      </c>
      <c r="P23" t="s">
        <v>112</v>
      </c>
      <c r="Q23" t="s">
        <v>76</v>
      </c>
      <c r="R23" t="s">
        <v>191</v>
      </c>
      <c r="S23" t="s">
        <v>217</v>
      </c>
    </row>
    <row r="24" ht="55" customHeight="1" spans="1:19">
      <c r="A24" s="1" t="str">
        <f>_xlfn.DISPIMG("ID_515AB51B151F4B40A5CB1635683F6D8A",1)</f>
        <v>=DISPIMG("ID_515AB51B151F4B40A5CB1635683F6D8A",1)</v>
      </c>
      <c r="B24" t="s">
        <v>218</v>
      </c>
      <c r="C24" t="s">
        <v>219</v>
      </c>
      <c r="D24" t="s">
        <v>220</v>
      </c>
      <c r="E24" t="s">
        <v>164</v>
      </c>
      <c r="F24" t="s">
        <v>23</v>
      </c>
      <c r="G24" t="s">
        <v>101</v>
      </c>
      <c r="H24" t="s">
        <v>164</v>
      </c>
      <c r="I24" t="s">
        <v>175</v>
      </c>
      <c r="J24" t="s">
        <v>26</v>
      </c>
      <c r="K24" t="s">
        <v>27</v>
      </c>
      <c r="L24" t="s">
        <v>28</v>
      </c>
      <c r="M24" t="s">
        <v>29</v>
      </c>
      <c r="N24" t="s">
        <v>64</v>
      </c>
      <c r="O24" t="s">
        <v>31</v>
      </c>
      <c r="P24" t="s">
        <v>221</v>
      </c>
      <c r="Q24" t="s">
        <v>222</v>
      </c>
      <c r="R24" t="s">
        <v>223</v>
      </c>
      <c r="S24" t="s">
        <v>224</v>
      </c>
    </row>
    <row r="25" ht="55" customHeight="1" spans="1:19">
      <c r="A25" s="1" t="str">
        <f>_xlfn.DISPIMG("ID_79BB43DB47FA4B19AEAD318438DF2B2D",1)</f>
        <v>=DISPIMG("ID_79BB43DB47FA4B19AEAD318438DF2B2D",1)</v>
      </c>
      <c r="B25" t="s">
        <v>225</v>
      </c>
      <c r="C25" t="s">
        <v>226</v>
      </c>
      <c r="D25" t="s">
        <v>227</v>
      </c>
      <c r="E25" t="s">
        <v>111</v>
      </c>
      <c r="F25" t="s">
        <v>228</v>
      </c>
      <c r="G25" t="s">
        <v>229</v>
      </c>
      <c r="H25" t="s">
        <v>111</v>
      </c>
      <c r="I25" t="s">
        <v>165</v>
      </c>
      <c r="J25" t="s">
        <v>230</v>
      </c>
      <c r="K25" t="s">
        <v>27</v>
      </c>
      <c r="L25" t="s">
        <v>231</v>
      </c>
      <c r="M25" t="s">
        <v>232</v>
      </c>
      <c r="N25" t="s">
        <v>64</v>
      </c>
      <c r="O25" t="s">
        <v>31</v>
      </c>
      <c r="P25" t="s">
        <v>112</v>
      </c>
      <c r="Q25" t="s">
        <v>233</v>
      </c>
      <c r="R25" t="s">
        <v>234</v>
      </c>
      <c r="S25" t="s">
        <v>235</v>
      </c>
    </row>
    <row r="26" ht="55" customHeight="1" spans="1:19">
      <c r="A26" s="1" t="str">
        <f>_xlfn.DISPIMG("ID_EC02FDB1EB1947EB92F4CC81385E9B61",1)</f>
        <v>=DISPIMG("ID_EC02FDB1EB1947EB92F4CC81385E9B61",1)</v>
      </c>
      <c r="B26" t="s">
        <v>236</v>
      </c>
      <c r="C26" t="s">
        <v>237</v>
      </c>
      <c r="D26" t="s">
        <v>60</v>
      </c>
      <c r="E26" t="s">
        <v>238</v>
      </c>
      <c r="F26" t="s">
        <v>51</v>
      </c>
      <c r="G26" t="s">
        <v>239</v>
      </c>
      <c r="H26" t="s">
        <v>238</v>
      </c>
      <c r="I26" t="s">
        <v>42</v>
      </c>
      <c r="J26" t="s">
        <v>26</v>
      </c>
      <c r="K26" t="s">
        <v>27</v>
      </c>
      <c r="L26" t="s">
        <v>53</v>
      </c>
      <c r="M26" t="s">
        <v>29</v>
      </c>
      <c r="N26" t="s">
        <v>64</v>
      </c>
      <c r="O26" t="s">
        <v>31</v>
      </c>
      <c r="P26" t="s">
        <v>54</v>
      </c>
      <c r="Q26" t="s">
        <v>240</v>
      </c>
      <c r="R26" t="s">
        <v>104</v>
      </c>
      <c r="S26" t="s">
        <v>241</v>
      </c>
    </row>
    <row r="27" ht="55" customHeight="1" spans="1:19">
      <c r="A27" s="1" t="str">
        <f>_xlfn.DISPIMG("ID_0200B19390AF4FD4B157CECC527682BF",1)</f>
        <v>=DISPIMG("ID_0200B19390AF4FD4B157CECC527682BF",1)</v>
      </c>
      <c r="B27" t="s">
        <v>242</v>
      </c>
      <c r="C27" t="s">
        <v>243</v>
      </c>
      <c r="D27" t="s">
        <v>244</v>
      </c>
      <c r="E27" t="s">
        <v>164</v>
      </c>
      <c r="F27" t="s">
        <v>245</v>
      </c>
      <c r="G27" t="s">
        <v>246</v>
      </c>
      <c r="H27" t="s">
        <v>164</v>
      </c>
      <c r="I27" t="s">
        <v>165</v>
      </c>
      <c r="J27" t="s">
        <v>26</v>
      </c>
      <c r="K27" t="s">
        <v>27</v>
      </c>
      <c r="L27" t="s">
        <v>28</v>
      </c>
      <c r="M27" t="s">
        <v>93</v>
      </c>
      <c r="N27" t="s">
        <v>30</v>
      </c>
      <c r="O27" t="s">
        <v>31</v>
      </c>
      <c r="P27" t="s">
        <v>247</v>
      </c>
      <c r="Q27" t="s">
        <v>248</v>
      </c>
      <c r="R27" t="s">
        <v>249</v>
      </c>
      <c r="S27" t="s">
        <v>250</v>
      </c>
    </row>
    <row r="28" ht="55" customHeight="1" spans="1:19">
      <c r="A28" s="1" t="str">
        <f>_xlfn.DISPIMG("ID_A329E2F422DA42BB822C0608FECAD376",1)</f>
        <v>=DISPIMG("ID_A329E2F422DA42BB822C0608FECAD376",1)</v>
      </c>
      <c r="B28" t="s">
        <v>251</v>
      </c>
      <c r="C28" t="s">
        <v>252</v>
      </c>
      <c r="D28" t="s">
        <v>253</v>
      </c>
      <c r="E28" t="s">
        <v>161</v>
      </c>
      <c r="F28" t="s">
        <v>40</v>
      </c>
      <c r="G28" t="s">
        <v>254</v>
      </c>
      <c r="H28" t="s">
        <v>164</v>
      </c>
      <c r="I28" t="s">
        <v>42</v>
      </c>
      <c r="J28" t="s">
        <v>26</v>
      </c>
      <c r="K28" t="s">
        <v>27</v>
      </c>
      <c r="L28" t="s">
        <v>74</v>
      </c>
      <c r="M28" t="s">
        <v>29</v>
      </c>
      <c r="N28" t="s">
        <v>30</v>
      </c>
      <c r="O28" t="s">
        <v>31</v>
      </c>
      <c r="P28" t="s">
        <v>112</v>
      </c>
      <c r="Q28" t="s">
        <v>255</v>
      </c>
      <c r="R28" t="s">
        <v>114</v>
      </c>
      <c r="S28" t="s">
        <v>256</v>
      </c>
    </row>
    <row r="29" ht="55" customHeight="1" spans="1:19">
      <c r="A29" s="1" t="str">
        <f>_xlfn.DISPIMG("ID_9F7D9B07CEF14F4390F68F80F97A6CBD",1)</f>
        <v>=DISPIMG("ID_9F7D9B07CEF14F4390F68F80F97A6CBD",1)</v>
      </c>
      <c r="B29" t="s">
        <v>257</v>
      </c>
      <c r="C29" t="s">
        <v>258</v>
      </c>
      <c r="D29" t="s">
        <v>259</v>
      </c>
      <c r="E29" t="s">
        <v>238</v>
      </c>
      <c r="F29" t="s">
        <v>51</v>
      </c>
      <c r="G29" t="s">
        <v>260</v>
      </c>
      <c r="H29" t="s">
        <v>238</v>
      </c>
      <c r="I29" t="s">
        <v>25</v>
      </c>
      <c r="J29" t="s">
        <v>26</v>
      </c>
      <c r="K29" t="s">
        <v>27</v>
      </c>
      <c r="L29" t="s">
        <v>28</v>
      </c>
      <c r="M29" t="s">
        <v>29</v>
      </c>
      <c r="N29" t="s">
        <v>30</v>
      </c>
      <c r="O29" t="s">
        <v>31</v>
      </c>
      <c r="P29" t="s">
        <v>261</v>
      </c>
      <c r="Q29" t="s">
        <v>262</v>
      </c>
      <c r="R29" t="s">
        <v>263</v>
      </c>
      <c r="S29" t="s">
        <v>264</v>
      </c>
    </row>
    <row r="30" ht="55" customHeight="1" spans="1:19">
      <c r="A30" s="1" t="str">
        <f>_xlfn.DISPIMG("ID_1DF53CA110C240CCAC26EB64CF17DCA9",1)</f>
        <v>=DISPIMG("ID_1DF53CA110C240CCAC26EB64CF17DCA9",1)</v>
      </c>
      <c r="B30" t="s">
        <v>265</v>
      </c>
      <c r="C30" t="s">
        <v>266</v>
      </c>
      <c r="D30" t="s">
        <v>267</v>
      </c>
      <c r="E30" t="s">
        <v>109</v>
      </c>
      <c r="F30" t="s">
        <v>51</v>
      </c>
      <c r="G30" t="s">
        <v>174</v>
      </c>
      <c r="H30" t="s">
        <v>111</v>
      </c>
      <c r="I30" t="s">
        <v>25</v>
      </c>
      <c r="J30" t="s">
        <v>26</v>
      </c>
      <c r="K30" t="s">
        <v>27</v>
      </c>
      <c r="L30" t="s">
        <v>28</v>
      </c>
      <c r="M30" t="s">
        <v>29</v>
      </c>
      <c r="N30" t="s">
        <v>64</v>
      </c>
      <c r="O30" t="s">
        <v>31</v>
      </c>
      <c r="P30" t="s">
        <v>268</v>
      </c>
      <c r="Q30" t="s">
        <v>269</v>
      </c>
      <c r="R30" t="s">
        <v>270</v>
      </c>
      <c r="S30" t="s">
        <v>271</v>
      </c>
    </row>
    <row r="31" ht="55" customHeight="1" spans="1:19">
      <c r="A31" s="1" t="str">
        <f>_xlfn.DISPIMG("ID_8CDE438413CE4DEBB38B8D33E82EE829",1)</f>
        <v>=DISPIMG("ID_8CDE438413CE4DEBB38B8D33E82EE829",1)</v>
      </c>
      <c r="B31" t="s">
        <v>149</v>
      </c>
      <c r="C31" t="s">
        <v>258</v>
      </c>
      <c r="D31" t="s">
        <v>272</v>
      </c>
      <c r="E31" t="s">
        <v>144</v>
      </c>
      <c r="F31" t="s">
        <v>51</v>
      </c>
      <c r="G31" t="s">
        <v>273</v>
      </c>
      <c r="H31" t="s">
        <v>144</v>
      </c>
      <c r="I31" t="s">
        <v>25</v>
      </c>
      <c r="J31" t="s">
        <v>26</v>
      </c>
      <c r="K31" t="s">
        <v>27</v>
      </c>
      <c r="L31" t="s">
        <v>53</v>
      </c>
      <c r="M31" t="s">
        <v>29</v>
      </c>
      <c r="N31" t="s">
        <v>30</v>
      </c>
      <c r="O31" t="s">
        <v>153</v>
      </c>
      <c r="P31" t="s">
        <v>274</v>
      </c>
      <c r="Q31" t="s">
        <v>275</v>
      </c>
      <c r="R31" t="s">
        <v>156</v>
      </c>
      <c r="S31" t="s">
        <v>276</v>
      </c>
    </row>
    <row r="32" ht="55" customHeight="1" spans="1:19">
      <c r="A32" s="1" t="str">
        <f>_xlfn.DISPIMG("ID_4F909939337B4088ACADFEC2094CF415",1)</f>
        <v>=DISPIMG("ID_4F909939337B4088ACADFEC2094CF415",1)</v>
      </c>
      <c r="B32" t="s">
        <v>277</v>
      </c>
      <c r="C32" t="s">
        <v>278</v>
      </c>
      <c r="D32" t="s">
        <v>279</v>
      </c>
      <c r="E32" t="s">
        <v>164</v>
      </c>
      <c r="F32" t="s">
        <v>91</v>
      </c>
      <c r="G32" t="s">
        <v>280</v>
      </c>
      <c r="H32" t="s">
        <v>164</v>
      </c>
      <c r="I32" t="s">
        <v>42</v>
      </c>
      <c r="J32" t="s">
        <v>26</v>
      </c>
      <c r="K32" t="s">
        <v>27</v>
      </c>
      <c r="L32" t="s">
        <v>28</v>
      </c>
      <c r="M32" t="s">
        <v>93</v>
      </c>
      <c r="N32" t="s">
        <v>64</v>
      </c>
      <c r="O32" t="s">
        <v>31</v>
      </c>
      <c r="P32" t="s">
        <v>75</v>
      </c>
      <c r="Q32" t="s">
        <v>275</v>
      </c>
      <c r="R32" t="s">
        <v>130</v>
      </c>
      <c r="S32" t="s">
        <v>281</v>
      </c>
    </row>
    <row r="33" ht="55" customHeight="1" spans="1:19">
      <c r="A33" s="1" t="str">
        <f>_xlfn.DISPIMG("ID_0ABBE78073FA45E4A1BE8192DBF0651D",1)</f>
        <v>=DISPIMG("ID_0ABBE78073FA45E4A1BE8192DBF0651D",1)</v>
      </c>
      <c r="B33" t="s">
        <v>282</v>
      </c>
      <c r="C33" t="s">
        <v>283</v>
      </c>
      <c r="D33" t="s">
        <v>244</v>
      </c>
      <c r="E33" t="s">
        <v>164</v>
      </c>
      <c r="F33" t="s">
        <v>40</v>
      </c>
      <c r="G33" t="s">
        <v>284</v>
      </c>
      <c r="H33" t="s">
        <v>164</v>
      </c>
      <c r="I33" t="s">
        <v>42</v>
      </c>
      <c r="J33" t="s">
        <v>26</v>
      </c>
      <c r="K33" t="s">
        <v>27</v>
      </c>
      <c r="L33" t="s">
        <v>74</v>
      </c>
      <c r="M33" t="s">
        <v>29</v>
      </c>
      <c r="N33" t="s">
        <v>30</v>
      </c>
      <c r="O33" t="s">
        <v>31</v>
      </c>
      <c r="P33" t="s">
        <v>285</v>
      </c>
      <c r="Q33" t="s">
        <v>286</v>
      </c>
      <c r="R33" t="s">
        <v>45</v>
      </c>
      <c r="S33" t="s">
        <v>287</v>
      </c>
    </row>
    <row r="34" ht="55" customHeight="1" spans="1:19">
      <c r="A34" s="1" t="str">
        <f>_xlfn.DISPIMG("ID_ED6E3C7B672B40BFAB5C8F802A390067",1)</f>
        <v>=DISPIMG("ID_ED6E3C7B672B40BFAB5C8F802A390067",1)</v>
      </c>
      <c r="B34" t="s">
        <v>288</v>
      </c>
      <c r="C34" t="s">
        <v>289</v>
      </c>
      <c r="D34" t="s">
        <v>108</v>
      </c>
      <c r="E34" t="s">
        <v>109</v>
      </c>
      <c r="F34" t="s">
        <v>290</v>
      </c>
      <c r="G34" t="s">
        <v>291</v>
      </c>
      <c r="H34" t="s">
        <v>111</v>
      </c>
      <c r="I34" t="s">
        <v>42</v>
      </c>
      <c r="J34" t="s">
        <v>26</v>
      </c>
      <c r="K34" t="s">
        <v>27</v>
      </c>
      <c r="L34" t="s">
        <v>28</v>
      </c>
      <c r="M34" t="s">
        <v>93</v>
      </c>
      <c r="N34" t="s">
        <v>30</v>
      </c>
      <c r="O34" t="s">
        <v>31</v>
      </c>
      <c r="P34" t="s">
        <v>112</v>
      </c>
      <c r="Q34" t="s">
        <v>292</v>
      </c>
      <c r="R34" t="s">
        <v>293</v>
      </c>
      <c r="S34" t="s">
        <v>294</v>
      </c>
    </row>
    <row r="35" ht="55" customHeight="1" spans="1:19">
      <c r="A35" s="1" t="str">
        <f>_xlfn.DISPIMG("ID_F0A7540B0EE84E048544E698AFE16474",1)</f>
        <v>=DISPIMG("ID_F0A7540B0EE84E048544E698AFE16474",1)</v>
      </c>
      <c r="B35" t="s">
        <v>295</v>
      </c>
      <c r="C35" t="s">
        <v>70</v>
      </c>
      <c r="D35" t="s">
        <v>38</v>
      </c>
      <c r="E35" t="s">
        <v>39</v>
      </c>
      <c r="F35" t="s">
        <v>91</v>
      </c>
      <c r="G35" t="s">
        <v>296</v>
      </c>
      <c r="H35" t="s">
        <v>39</v>
      </c>
      <c r="I35" t="s">
        <v>42</v>
      </c>
      <c r="J35" t="s">
        <v>26</v>
      </c>
      <c r="K35" t="s">
        <v>27</v>
      </c>
      <c r="L35" t="s">
        <v>53</v>
      </c>
      <c r="M35" t="s">
        <v>93</v>
      </c>
      <c r="N35" t="s">
        <v>30</v>
      </c>
      <c r="O35" t="s">
        <v>31</v>
      </c>
      <c r="P35" t="s">
        <v>75</v>
      </c>
      <c r="Q35" t="s">
        <v>297</v>
      </c>
      <c r="R35" t="s">
        <v>130</v>
      </c>
      <c r="S35" t="s">
        <v>298</v>
      </c>
    </row>
    <row r="36" ht="55" customHeight="1" spans="1:19">
      <c r="A36" s="1" t="str">
        <f>_xlfn.DISPIMG("ID_1AA0296B563E472398ABB96F20719AC9",1)</f>
        <v>=DISPIMG("ID_1AA0296B563E472398ABB96F20719AC9",1)</v>
      </c>
      <c r="B36" t="s">
        <v>295</v>
      </c>
      <c r="C36" t="s">
        <v>299</v>
      </c>
      <c r="D36" t="s">
        <v>38</v>
      </c>
      <c r="E36" t="s">
        <v>39</v>
      </c>
      <c r="F36" t="s">
        <v>91</v>
      </c>
      <c r="G36" t="s">
        <v>300</v>
      </c>
      <c r="H36" t="s">
        <v>39</v>
      </c>
      <c r="I36" t="s">
        <v>42</v>
      </c>
      <c r="J36" t="s">
        <v>26</v>
      </c>
      <c r="K36" t="s">
        <v>27</v>
      </c>
      <c r="L36" t="s">
        <v>53</v>
      </c>
      <c r="M36" t="s">
        <v>93</v>
      </c>
      <c r="N36" t="s">
        <v>30</v>
      </c>
      <c r="O36" t="s">
        <v>31</v>
      </c>
      <c r="P36" t="s">
        <v>301</v>
      </c>
      <c r="Q36" t="s">
        <v>297</v>
      </c>
      <c r="R36" t="s">
        <v>130</v>
      </c>
      <c r="S36" t="s">
        <v>302</v>
      </c>
    </row>
    <row r="37" ht="55" customHeight="1" spans="1:19">
      <c r="A37" s="1" t="str">
        <f>_xlfn.DISPIMG("ID_D2668AD6DE7F4046B522A35A2911FFCB",1)</f>
        <v>=DISPIMG("ID_D2668AD6DE7F4046B522A35A2911FFCB",1)</v>
      </c>
      <c r="B37" t="s">
        <v>106</v>
      </c>
      <c r="C37" t="s">
        <v>303</v>
      </c>
      <c r="D37" t="s">
        <v>304</v>
      </c>
      <c r="E37" t="s">
        <v>305</v>
      </c>
      <c r="F37" t="s">
        <v>40</v>
      </c>
      <c r="G37" t="s">
        <v>306</v>
      </c>
      <c r="H37" t="s">
        <v>50</v>
      </c>
      <c r="I37" t="s">
        <v>42</v>
      </c>
      <c r="J37" t="s">
        <v>26</v>
      </c>
      <c r="K37" t="s">
        <v>27</v>
      </c>
      <c r="L37" t="s">
        <v>53</v>
      </c>
      <c r="M37" t="s">
        <v>29</v>
      </c>
      <c r="N37" t="s">
        <v>30</v>
      </c>
      <c r="O37" t="s">
        <v>31</v>
      </c>
      <c r="P37" t="s">
        <v>65</v>
      </c>
      <c r="Q37" t="s">
        <v>307</v>
      </c>
      <c r="R37" t="s">
        <v>114</v>
      </c>
      <c r="S37" t="s">
        <v>308</v>
      </c>
    </row>
    <row r="38" ht="55" customHeight="1" spans="1:19">
      <c r="A38" s="1" t="str">
        <f>_xlfn.DISPIMG("ID_2D4D832B04D8468AAE739E5DE490CBD9",1)</f>
        <v>=DISPIMG("ID_2D4D832B04D8468AAE739E5DE490CBD9",1)</v>
      </c>
      <c r="B38" t="s">
        <v>106</v>
      </c>
      <c r="C38" t="s">
        <v>309</v>
      </c>
      <c r="D38" t="s">
        <v>310</v>
      </c>
      <c r="E38" t="s">
        <v>311</v>
      </c>
      <c r="F38" t="s">
        <v>40</v>
      </c>
      <c r="G38" t="s">
        <v>312</v>
      </c>
      <c r="H38" t="s">
        <v>39</v>
      </c>
      <c r="I38" t="s">
        <v>42</v>
      </c>
      <c r="J38" t="s">
        <v>26</v>
      </c>
      <c r="K38" t="s">
        <v>27</v>
      </c>
      <c r="L38" t="s">
        <v>53</v>
      </c>
      <c r="M38" t="s">
        <v>29</v>
      </c>
      <c r="N38" t="s">
        <v>30</v>
      </c>
      <c r="O38" t="s">
        <v>31</v>
      </c>
      <c r="P38" t="s">
        <v>75</v>
      </c>
      <c r="Q38" t="s">
        <v>255</v>
      </c>
      <c r="R38" t="s">
        <v>114</v>
      </c>
      <c r="S38" t="s">
        <v>313</v>
      </c>
    </row>
    <row r="39" ht="55" customHeight="1" spans="1:19">
      <c r="A39" s="1" t="str">
        <f>_xlfn.DISPIMG("ID_00730F379ADF4A35BCB90118FD2D1A4D",1)</f>
        <v>=DISPIMG("ID_00730F379ADF4A35BCB90118FD2D1A4D",1)</v>
      </c>
      <c r="B39" t="s">
        <v>158</v>
      </c>
      <c r="C39" t="s">
        <v>314</v>
      </c>
      <c r="D39" t="s">
        <v>315</v>
      </c>
      <c r="E39" t="s">
        <v>316</v>
      </c>
      <c r="F39" t="s">
        <v>162</v>
      </c>
      <c r="G39" t="s">
        <v>317</v>
      </c>
      <c r="H39" t="s">
        <v>144</v>
      </c>
      <c r="I39" t="s">
        <v>165</v>
      </c>
      <c r="J39" t="s">
        <v>26</v>
      </c>
      <c r="K39" t="s">
        <v>27</v>
      </c>
      <c r="L39" t="s">
        <v>28</v>
      </c>
      <c r="M39" t="s">
        <v>166</v>
      </c>
      <c r="N39" t="s">
        <v>30</v>
      </c>
      <c r="O39" t="s">
        <v>31</v>
      </c>
      <c r="P39" t="s">
        <v>154</v>
      </c>
      <c r="Q39" t="s">
        <v>76</v>
      </c>
      <c r="R39" t="s">
        <v>318</v>
      </c>
      <c r="S39" t="s">
        <v>319</v>
      </c>
    </row>
    <row r="40" ht="55" customHeight="1" spans="1:19">
      <c r="A40" s="1" t="str">
        <f>_xlfn.DISPIMG("ID_C145660FB4F74DC9BC04FE6095D25B98",1)</f>
        <v>=DISPIMG("ID_C145660FB4F74DC9BC04FE6095D25B98",1)</v>
      </c>
      <c r="B40" t="s">
        <v>320</v>
      </c>
      <c r="C40" t="s">
        <v>321</v>
      </c>
      <c r="D40" t="s">
        <v>322</v>
      </c>
      <c r="E40" t="s">
        <v>211</v>
      </c>
      <c r="F40" t="s">
        <v>173</v>
      </c>
      <c r="G40" t="s">
        <v>229</v>
      </c>
      <c r="H40" t="s">
        <v>211</v>
      </c>
      <c r="I40" t="s">
        <v>175</v>
      </c>
      <c r="J40" t="s">
        <v>26</v>
      </c>
      <c r="K40" t="s">
        <v>27</v>
      </c>
      <c r="L40" t="s">
        <v>323</v>
      </c>
      <c r="M40" t="s">
        <v>93</v>
      </c>
      <c r="N40" t="s">
        <v>30</v>
      </c>
      <c r="O40" t="s">
        <v>31</v>
      </c>
      <c r="P40" t="s">
        <v>146</v>
      </c>
      <c r="Q40" t="s">
        <v>129</v>
      </c>
      <c r="R40" t="s">
        <v>324</v>
      </c>
      <c r="S40" t="s">
        <v>325</v>
      </c>
    </row>
    <row r="41" ht="55" customHeight="1" spans="1:19">
      <c r="A41" s="1" t="str">
        <f>_xlfn.DISPIMG("ID_04744561A3594DF3BA992280D9CC00B0",1)</f>
        <v>=DISPIMG("ID_04744561A3594DF3BA992280D9CC00B0",1)</v>
      </c>
      <c r="B41" t="s">
        <v>326</v>
      </c>
      <c r="C41" t="s">
        <v>321</v>
      </c>
      <c r="D41" t="s">
        <v>327</v>
      </c>
      <c r="E41" t="s">
        <v>328</v>
      </c>
      <c r="F41" t="s">
        <v>212</v>
      </c>
      <c r="G41" t="s">
        <v>317</v>
      </c>
      <c r="H41" t="s">
        <v>119</v>
      </c>
      <c r="I41" t="s">
        <v>189</v>
      </c>
      <c r="J41" t="s">
        <v>26</v>
      </c>
      <c r="K41" t="s">
        <v>27</v>
      </c>
      <c r="L41" t="s">
        <v>329</v>
      </c>
      <c r="M41" t="s">
        <v>93</v>
      </c>
      <c r="N41" t="s">
        <v>30</v>
      </c>
      <c r="O41" t="s">
        <v>31</v>
      </c>
      <c r="P41" t="s">
        <v>138</v>
      </c>
      <c r="Q41" t="s">
        <v>167</v>
      </c>
      <c r="R41" t="s">
        <v>330</v>
      </c>
      <c r="S41" t="s">
        <v>331</v>
      </c>
    </row>
    <row r="42" ht="55" customHeight="1" spans="1:19">
      <c r="A42" s="1" t="str">
        <f>_xlfn.DISPIMG("ID_6B586764DF0646C4AC30F7797D41C6E7",1)</f>
        <v>=DISPIMG("ID_6B586764DF0646C4AC30F7797D41C6E7",1)</v>
      </c>
      <c r="B42" t="s">
        <v>332</v>
      </c>
      <c r="C42" t="s">
        <v>333</v>
      </c>
      <c r="D42" t="s">
        <v>143</v>
      </c>
      <c r="E42" t="s">
        <v>144</v>
      </c>
      <c r="F42" t="s">
        <v>91</v>
      </c>
      <c r="G42" t="s">
        <v>334</v>
      </c>
      <c r="H42" t="s">
        <v>144</v>
      </c>
      <c r="I42" t="s">
        <v>175</v>
      </c>
      <c r="J42" t="s">
        <v>26</v>
      </c>
      <c r="K42" t="s">
        <v>27</v>
      </c>
      <c r="L42" t="s">
        <v>231</v>
      </c>
      <c r="M42" t="s">
        <v>93</v>
      </c>
      <c r="N42" t="s">
        <v>30</v>
      </c>
      <c r="O42" t="s">
        <v>31</v>
      </c>
      <c r="P42" t="s">
        <v>335</v>
      </c>
      <c r="Q42" t="s">
        <v>44</v>
      </c>
      <c r="R42" t="s">
        <v>336</v>
      </c>
      <c r="S42" t="s">
        <v>337</v>
      </c>
    </row>
    <row r="43" ht="55" customHeight="1" spans="1:19">
      <c r="A43" s="1" t="str">
        <f>_xlfn.DISPIMG("ID_F802EF9DA01D411F9E18CE1D75C70A07",1)</f>
        <v>=DISPIMG("ID_F802EF9DA01D411F9E18CE1D75C70A07",1)</v>
      </c>
      <c r="B43" t="s">
        <v>338</v>
      </c>
      <c r="C43" t="s">
        <v>339</v>
      </c>
      <c r="D43" t="s">
        <v>279</v>
      </c>
      <c r="E43" t="s">
        <v>164</v>
      </c>
      <c r="F43" t="s">
        <v>91</v>
      </c>
      <c r="G43" t="s">
        <v>260</v>
      </c>
      <c r="H43" t="s">
        <v>100</v>
      </c>
      <c r="I43" t="s">
        <v>25</v>
      </c>
      <c r="J43" t="s">
        <v>26</v>
      </c>
      <c r="K43" t="s">
        <v>27</v>
      </c>
      <c r="L43" t="s">
        <v>231</v>
      </c>
      <c r="M43" t="s">
        <v>93</v>
      </c>
      <c r="N43" t="s">
        <v>30</v>
      </c>
      <c r="O43" t="s">
        <v>31</v>
      </c>
      <c r="P43" t="s">
        <v>340</v>
      </c>
      <c r="Q43" t="s">
        <v>341</v>
      </c>
      <c r="R43" t="s">
        <v>147</v>
      </c>
      <c r="S43" t="s">
        <v>342</v>
      </c>
    </row>
    <row r="44" ht="55" customHeight="1" spans="1:19">
      <c r="A44" s="1" t="str">
        <f>_xlfn.DISPIMG("ID_9B8D24E2B31C48498C4D6C805610BC1D",1)</f>
        <v>=DISPIMG("ID_9B8D24E2B31C48498C4D6C805610BC1D",1)</v>
      </c>
      <c r="B44" t="s">
        <v>343</v>
      </c>
      <c r="C44" t="s">
        <v>344</v>
      </c>
      <c r="D44" t="s">
        <v>60</v>
      </c>
      <c r="E44" t="s">
        <v>61</v>
      </c>
      <c r="F44" t="s">
        <v>162</v>
      </c>
      <c r="G44" t="s">
        <v>345</v>
      </c>
      <c r="H44" t="s">
        <v>63</v>
      </c>
      <c r="I44" t="s">
        <v>175</v>
      </c>
      <c r="J44" t="s">
        <v>26</v>
      </c>
      <c r="K44" t="s">
        <v>27</v>
      </c>
      <c r="L44" t="s">
        <v>28</v>
      </c>
      <c r="M44" t="s">
        <v>166</v>
      </c>
      <c r="N44" t="s">
        <v>64</v>
      </c>
      <c r="O44" t="s">
        <v>31</v>
      </c>
      <c r="P44" t="s">
        <v>146</v>
      </c>
      <c r="Q44" t="s">
        <v>44</v>
      </c>
      <c r="R44" t="s">
        <v>346</v>
      </c>
      <c r="S44" t="s">
        <v>347</v>
      </c>
    </row>
    <row r="45" ht="55" customHeight="1" spans="1:19">
      <c r="A45" s="1" t="str">
        <f>_xlfn.DISPIMG("ID_13BF62ED3F17432EB3311189DE1AEDE9",1)</f>
        <v>=DISPIMG("ID_13BF62ED3F17432EB3311189DE1AEDE9",1)</v>
      </c>
      <c r="B45" t="s">
        <v>116</v>
      </c>
      <c r="C45" t="s">
        <v>348</v>
      </c>
      <c r="D45" t="s">
        <v>349</v>
      </c>
      <c r="E45" t="s">
        <v>84</v>
      </c>
      <c r="F45" t="s">
        <v>40</v>
      </c>
      <c r="G45" t="s">
        <v>350</v>
      </c>
      <c r="H45" t="s">
        <v>84</v>
      </c>
      <c r="I45" t="s">
        <v>42</v>
      </c>
      <c r="J45" t="s">
        <v>26</v>
      </c>
      <c r="K45" t="s">
        <v>27</v>
      </c>
      <c r="L45" t="s">
        <v>28</v>
      </c>
      <c r="M45" t="s">
        <v>29</v>
      </c>
      <c r="N45" t="s">
        <v>30</v>
      </c>
      <c r="O45" t="s">
        <v>31</v>
      </c>
      <c r="P45" t="s">
        <v>351</v>
      </c>
      <c r="Q45" t="s">
        <v>352</v>
      </c>
      <c r="R45" t="s">
        <v>147</v>
      </c>
      <c r="S45" t="s">
        <v>353</v>
      </c>
    </row>
    <row r="46" ht="55" customHeight="1" spans="1:19">
      <c r="A46" s="1" t="str">
        <f>_xlfn.DISPIMG("ID_66D9C75769EE451CAC0BA39102FF6EC5",1)</f>
        <v>=DISPIMG("ID_66D9C75769EE451CAC0BA39102FF6EC5",1)</v>
      </c>
      <c r="B46" t="s">
        <v>354</v>
      </c>
      <c r="C46" t="s">
        <v>355</v>
      </c>
      <c r="D46" t="s">
        <v>356</v>
      </c>
      <c r="E46" t="s">
        <v>357</v>
      </c>
      <c r="F46" t="s">
        <v>91</v>
      </c>
      <c r="G46" t="s">
        <v>358</v>
      </c>
      <c r="H46" t="s">
        <v>357</v>
      </c>
      <c r="I46" t="s">
        <v>25</v>
      </c>
      <c r="J46" t="s">
        <v>26</v>
      </c>
      <c r="K46" t="s">
        <v>27</v>
      </c>
      <c r="L46" t="s">
        <v>231</v>
      </c>
      <c r="M46" t="s">
        <v>93</v>
      </c>
      <c r="N46" t="s">
        <v>30</v>
      </c>
      <c r="O46" t="s">
        <v>31</v>
      </c>
      <c r="P46" t="s">
        <v>268</v>
      </c>
      <c r="Q46" t="s">
        <v>359</v>
      </c>
      <c r="R46" t="s">
        <v>360</v>
      </c>
      <c r="S46" t="s">
        <v>361</v>
      </c>
    </row>
    <row r="47" ht="55" customHeight="1" spans="1:19">
      <c r="A47" s="1" t="str">
        <f>_xlfn.DISPIMG("ID_7E2205A972844B4996137301ECFFCD9A",1)</f>
        <v>=DISPIMG("ID_7E2205A972844B4996137301ECFFCD9A",1)</v>
      </c>
      <c r="B47" t="s">
        <v>88</v>
      </c>
      <c r="C47" t="s">
        <v>362</v>
      </c>
      <c r="D47" t="s">
        <v>356</v>
      </c>
      <c r="E47" t="s">
        <v>50</v>
      </c>
      <c r="F47" t="s">
        <v>91</v>
      </c>
      <c r="G47" t="s">
        <v>363</v>
      </c>
      <c r="H47" t="s">
        <v>50</v>
      </c>
      <c r="I47" t="s">
        <v>25</v>
      </c>
      <c r="J47" t="s">
        <v>26</v>
      </c>
      <c r="K47" t="s">
        <v>27</v>
      </c>
      <c r="L47" t="s">
        <v>28</v>
      </c>
      <c r="M47" t="s">
        <v>93</v>
      </c>
      <c r="N47" t="s">
        <v>30</v>
      </c>
      <c r="O47" t="s">
        <v>31</v>
      </c>
      <c r="P47" t="s">
        <v>364</v>
      </c>
      <c r="Q47" t="s">
        <v>352</v>
      </c>
      <c r="R47" t="s">
        <v>95</v>
      </c>
      <c r="S47" t="s">
        <v>365</v>
      </c>
    </row>
    <row r="48" ht="55" customHeight="1" spans="1:19">
      <c r="A48" s="1" t="str">
        <f>_xlfn.DISPIMG("ID_E42D99F6EC0A43C99E5EB01FC4228E2F",1)</f>
        <v>=DISPIMG("ID_E42D99F6EC0A43C99E5EB01FC4228E2F",1)</v>
      </c>
      <c r="B48" t="s">
        <v>366</v>
      </c>
      <c r="C48" t="s">
        <v>367</v>
      </c>
      <c r="D48" t="s">
        <v>368</v>
      </c>
      <c r="E48" t="s">
        <v>135</v>
      </c>
      <c r="F48" t="s">
        <v>245</v>
      </c>
      <c r="G48" t="s">
        <v>120</v>
      </c>
      <c r="H48" t="s">
        <v>135</v>
      </c>
      <c r="I48" t="s">
        <v>165</v>
      </c>
      <c r="J48" t="s">
        <v>26</v>
      </c>
      <c r="K48" t="s">
        <v>27</v>
      </c>
      <c r="L48" t="s">
        <v>231</v>
      </c>
      <c r="M48" t="s">
        <v>93</v>
      </c>
      <c r="N48" t="s">
        <v>30</v>
      </c>
      <c r="O48" t="s">
        <v>31</v>
      </c>
      <c r="P48" t="s">
        <v>112</v>
      </c>
      <c r="Q48" t="s">
        <v>369</v>
      </c>
      <c r="R48" t="s">
        <v>370</v>
      </c>
      <c r="S48" t="s">
        <v>371</v>
      </c>
    </row>
    <row r="49" ht="55" customHeight="1" spans="1:19">
      <c r="A49" s="1" t="str">
        <f>_xlfn.DISPIMG("ID_88B74742A21C47B6BCD55531D322C547",1)</f>
        <v>=DISPIMG("ID_88B74742A21C47B6BCD55531D322C547",1)</v>
      </c>
      <c r="B49" t="s">
        <v>158</v>
      </c>
      <c r="C49" t="s">
        <v>372</v>
      </c>
      <c r="D49" t="s">
        <v>315</v>
      </c>
      <c r="E49" t="s">
        <v>316</v>
      </c>
      <c r="F49" t="s">
        <v>162</v>
      </c>
      <c r="G49" t="s">
        <v>127</v>
      </c>
      <c r="H49" t="s">
        <v>144</v>
      </c>
      <c r="I49" t="s">
        <v>165</v>
      </c>
      <c r="J49" t="s">
        <v>26</v>
      </c>
      <c r="K49" t="s">
        <v>27</v>
      </c>
      <c r="L49" t="s">
        <v>28</v>
      </c>
      <c r="M49" t="s">
        <v>166</v>
      </c>
      <c r="N49" t="s">
        <v>30</v>
      </c>
      <c r="O49" t="s">
        <v>31</v>
      </c>
      <c r="P49" t="s">
        <v>65</v>
      </c>
      <c r="Q49" t="s">
        <v>76</v>
      </c>
      <c r="R49" t="s">
        <v>168</v>
      </c>
      <c r="S49" t="s">
        <v>373</v>
      </c>
    </row>
    <row r="50" ht="55" customHeight="1" spans="1:19">
      <c r="A50" s="1" t="str">
        <f>_xlfn.DISPIMG("ID_5A27D11521F14DFBB510EC448C6DEF15",1)</f>
        <v>=DISPIMG("ID_5A27D11521F14DFBB510EC448C6DEF15",1)</v>
      </c>
      <c r="B50" t="s">
        <v>242</v>
      </c>
      <c r="C50" t="s">
        <v>374</v>
      </c>
      <c r="D50" t="s">
        <v>375</v>
      </c>
      <c r="E50" t="s">
        <v>100</v>
      </c>
      <c r="F50" t="s">
        <v>245</v>
      </c>
      <c r="G50" t="s">
        <v>246</v>
      </c>
      <c r="H50" t="s">
        <v>100</v>
      </c>
      <c r="I50" t="s">
        <v>165</v>
      </c>
      <c r="J50" t="s">
        <v>26</v>
      </c>
      <c r="K50" t="s">
        <v>27</v>
      </c>
      <c r="L50" t="s">
        <v>231</v>
      </c>
      <c r="M50" t="s">
        <v>93</v>
      </c>
      <c r="N50" t="s">
        <v>64</v>
      </c>
      <c r="O50" t="s">
        <v>31</v>
      </c>
      <c r="P50" t="s">
        <v>65</v>
      </c>
      <c r="Q50" t="s">
        <v>55</v>
      </c>
      <c r="R50" t="s">
        <v>249</v>
      </c>
      <c r="S50" t="s">
        <v>376</v>
      </c>
    </row>
    <row r="51" ht="55" customHeight="1" spans="1:19">
      <c r="A51" s="1" t="str">
        <f>_xlfn.DISPIMG("ID_226908140CEF4BA492F712C00C133B90",1)</f>
        <v>=DISPIMG("ID_226908140CEF4BA492F712C00C133B90",1)</v>
      </c>
      <c r="B51" t="s">
        <v>377</v>
      </c>
      <c r="C51" t="s">
        <v>378</v>
      </c>
      <c r="D51" t="s">
        <v>379</v>
      </c>
      <c r="E51" t="s">
        <v>119</v>
      </c>
      <c r="F51" t="s">
        <v>91</v>
      </c>
      <c r="G51" t="s">
        <v>380</v>
      </c>
      <c r="H51" t="s">
        <v>119</v>
      </c>
      <c r="I51" t="s">
        <v>42</v>
      </c>
      <c r="J51" t="s">
        <v>26</v>
      </c>
      <c r="K51" t="s">
        <v>27</v>
      </c>
      <c r="L51" t="s">
        <v>74</v>
      </c>
      <c r="M51" t="s">
        <v>93</v>
      </c>
      <c r="N51" t="s">
        <v>30</v>
      </c>
      <c r="O51" t="s">
        <v>31</v>
      </c>
      <c r="P51" t="s">
        <v>65</v>
      </c>
      <c r="Q51" t="s">
        <v>352</v>
      </c>
      <c r="R51" t="s">
        <v>130</v>
      </c>
      <c r="S51" t="s">
        <v>381</v>
      </c>
    </row>
    <row r="52" ht="55" customHeight="1" spans="1:19">
      <c r="A52" s="1" t="str">
        <f>_xlfn.DISPIMG("ID_0DD55DF4A7754C2981422EF256C2706A",1)</f>
        <v>=DISPIMG("ID_0DD55DF4A7754C2981422EF256C2706A",1)</v>
      </c>
      <c r="B52" t="s">
        <v>282</v>
      </c>
      <c r="C52" t="s">
        <v>382</v>
      </c>
      <c r="D52" t="s">
        <v>118</v>
      </c>
      <c r="E52" t="s">
        <v>119</v>
      </c>
      <c r="F52" t="s">
        <v>40</v>
      </c>
      <c r="G52" t="s">
        <v>383</v>
      </c>
      <c r="H52" t="s">
        <v>119</v>
      </c>
      <c r="I52" t="s">
        <v>42</v>
      </c>
      <c r="J52" t="s">
        <v>26</v>
      </c>
      <c r="K52" t="s">
        <v>27</v>
      </c>
      <c r="L52" t="s">
        <v>28</v>
      </c>
      <c r="M52" t="s">
        <v>29</v>
      </c>
      <c r="N52" t="s">
        <v>30</v>
      </c>
      <c r="O52" t="s">
        <v>31</v>
      </c>
      <c r="P52" t="s">
        <v>138</v>
      </c>
      <c r="Q52" t="s">
        <v>76</v>
      </c>
      <c r="R52" t="s">
        <v>45</v>
      </c>
      <c r="S52" t="s">
        <v>384</v>
      </c>
    </row>
    <row r="53" ht="55" customHeight="1" spans="1:19">
      <c r="A53" s="1" t="str">
        <f>_xlfn.DISPIMG("ID_EABD458B2A214B648667277C776BB1B3",1)</f>
        <v>=DISPIMG("ID_EABD458B2A214B648667277C776BB1B3",1)</v>
      </c>
      <c r="B53" t="s">
        <v>385</v>
      </c>
      <c r="C53" t="s">
        <v>386</v>
      </c>
      <c r="D53" t="s">
        <v>143</v>
      </c>
      <c r="E53" t="s">
        <v>144</v>
      </c>
      <c r="F53" t="s">
        <v>40</v>
      </c>
      <c r="G53" t="s">
        <v>387</v>
      </c>
      <c r="H53" t="s">
        <v>144</v>
      </c>
      <c r="I53" t="s">
        <v>25</v>
      </c>
      <c r="J53" t="s">
        <v>26</v>
      </c>
      <c r="K53" t="s">
        <v>27</v>
      </c>
      <c r="L53" t="s">
        <v>53</v>
      </c>
      <c r="M53" t="s">
        <v>29</v>
      </c>
      <c r="N53" t="s">
        <v>64</v>
      </c>
      <c r="O53" t="s">
        <v>31</v>
      </c>
      <c r="P53" t="s">
        <v>221</v>
      </c>
      <c r="Q53" t="s">
        <v>388</v>
      </c>
      <c r="R53" t="s">
        <v>389</v>
      </c>
      <c r="S53" t="s">
        <v>390</v>
      </c>
    </row>
    <row r="54" ht="55" customHeight="1" spans="1:19">
      <c r="A54" s="1" t="str">
        <f>_xlfn.DISPIMG("ID_51B86CC0996E484B8D2485BA7B3932F3",1)</f>
        <v>=DISPIMG("ID_51B86CC0996E484B8D2485BA7B3932F3",1)</v>
      </c>
      <c r="B54" t="s">
        <v>116</v>
      </c>
      <c r="C54" t="s">
        <v>391</v>
      </c>
      <c r="D54" t="s">
        <v>118</v>
      </c>
      <c r="E54" t="s">
        <v>392</v>
      </c>
      <c r="F54" t="s">
        <v>40</v>
      </c>
      <c r="G54" t="s">
        <v>306</v>
      </c>
      <c r="H54" t="s">
        <v>392</v>
      </c>
      <c r="I54" t="s">
        <v>42</v>
      </c>
      <c r="J54" t="s">
        <v>26</v>
      </c>
      <c r="K54" t="s">
        <v>27</v>
      </c>
      <c r="L54" t="s">
        <v>28</v>
      </c>
      <c r="M54" t="s">
        <v>29</v>
      </c>
      <c r="N54" t="s">
        <v>30</v>
      </c>
      <c r="O54" t="s">
        <v>31</v>
      </c>
      <c r="P54" t="s">
        <v>138</v>
      </c>
      <c r="Q54" t="s">
        <v>393</v>
      </c>
      <c r="R54" t="s">
        <v>147</v>
      </c>
      <c r="S54" t="s">
        <v>394</v>
      </c>
    </row>
    <row r="55" ht="55" customHeight="1" spans="1:19">
      <c r="A55" s="1" t="str">
        <f>_xlfn.DISPIMG("ID_450DE3A3932343C288EAB7D03E020974",1)</f>
        <v>=DISPIMG("ID_450DE3A3932343C288EAB7D03E020974",1)</v>
      </c>
      <c r="B55" t="s">
        <v>395</v>
      </c>
      <c r="C55" t="s">
        <v>396</v>
      </c>
      <c r="D55" t="s">
        <v>327</v>
      </c>
      <c r="E55" t="s">
        <v>328</v>
      </c>
      <c r="F55" t="s">
        <v>290</v>
      </c>
      <c r="G55" t="s">
        <v>300</v>
      </c>
      <c r="H55" t="s">
        <v>119</v>
      </c>
      <c r="I55" t="s">
        <v>42</v>
      </c>
      <c r="J55" t="s">
        <v>26</v>
      </c>
      <c r="K55" t="s">
        <v>27</v>
      </c>
      <c r="L55" t="s">
        <v>28</v>
      </c>
      <c r="M55" t="s">
        <v>93</v>
      </c>
      <c r="N55" t="s">
        <v>30</v>
      </c>
      <c r="O55" t="s">
        <v>31</v>
      </c>
      <c r="P55" t="s">
        <v>75</v>
      </c>
      <c r="Q55" t="s">
        <v>167</v>
      </c>
      <c r="R55" t="s">
        <v>397</v>
      </c>
      <c r="S55" t="s">
        <v>398</v>
      </c>
    </row>
    <row r="56" ht="55" customHeight="1" spans="1:19">
      <c r="A56" s="1" t="str">
        <f>_xlfn.DISPIMG("ID_6F1855E122D94198A07FF3B56D923458",1)</f>
        <v>=DISPIMG("ID_6F1855E122D94198A07FF3B56D923458",1)</v>
      </c>
      <c r="B56" t="s">
        <v>399</v>
      </c>
      <c r="C56" t="s">
        <v>278</v>
      </c>
      <c r="D56" t="s">
        <v>400</v>
      </c>
      <c r="E56" t="s">
        <v>211</v>
      </c>
      <c r="F56" t="s">
        <v>401</v>
      </c>
      <c r="G56" t="s">
        <v>402</v>
      </c>
      <c r="H56" t="s">
        <v>211</v>
      </c>
      <c r="I56" t="s">
        <v>175</v>
      </c>
      <c r="J56" t="s">
        <v>26</v>
      </c>
      <c r="K56" t="s">
        <v>27</v>
      </c>
      <c r="L56" t="s">
        <v>28</v>
      </c>
      <c r="M56" t="s">
        <v>403</v>
      </c>
      <c r="N56" t="s">
        <v>30</v>
      </c>
      <c r="O56" t="s">
        <v>404</v>
      </c>
      <c r="P56" t="s">
        <v>75</v>
      </c>
      <c r="Q56" t="s">
        <v>113</v>
      </c>
      <c r="R56" t="s">
        <v>324</v>
      </c>
      <c r="S56" t="s">
        <v>405</v>
      </c>
    </row>
    <row r="57" ht="55" customHeight="1" spans="1:19">
      <c r="A57" s="1" t="str">
        <f>_xlfn.DISPIMG("ID_D23AF714DBB44B4BA5246C0C6EBE9B78",1)</f>
        <v>=DISPIMG("ID_D23AF714DBB44B4BA5246C0C6EBE9B78",1)</v>
      </c>
      <c r="B57" t="s">
        <v>406</v>
      </c>
      <c r="C57" t="s">
        <v>407</v>
      </c>
      <c r="D57" t="s">
        <v>310</v>
      </c>
      <c r="E57" t="s">
        <v>311</v>
      </c>
      <c r="F57" t="s">
        <v>40</v>
      </c>
      <c r="G57" t="s">
        <v>408</v>
      </c>
      <c r="H57" t="s">
        <v>39</v>
      </c>
      <c r="I57" t="s">
        <v>42</v>
      </c>
      <c r="J57" t="s">
        <v>26</v>
      </c>
      <c r="K57" t="s">
        <v>27</v>
      </c>
      <c r="L57" t="s">
        <v>28</v>
      </c>
      <c r="M57" t="s">
        <v>29</v>
      </c>
      <c r="N57" t="s">
        <v>30</v>
      </c>
      <c r="O57" t="s">
        <v>31</v>
      </c>
      <c r="P57" t="s">
        <v>340</v>
      </c>
      <c r="Q57" t="s">
        <v>269</v>
      </c>
      <c r="R57" t="s">
        <v>409</v>
      </c>
      <c r="S57" t="s">
        <v>410</v>
      </c>
    </row>
    <row r="58" ht="55" customHeight="1" spans="1:19">
      <c r="A58" s="1" t="str">
        <f>_xlfn.DISPIMG("ID_F2B343FD0453484D8FB66FF44399DE95",1)</f>
        <v>=DISPIMG("ID_F2B343FD0453484D8FB66FF44399DE95",1)</v>
      </c>
      <c r="B58" t="s">
        <v>106</v>
      </c>
      <c r="C58" t="s">
        <v>411</v>
      </c>
      <c r="D58" t="s">
        <v>412</v>
      </c>
      <c r="E58" t="s">
        <v>413</v>
      </c>
      <c r="F58" t="s">
        <v>40</v>
      </c>
      <c r="G58" t="s">
        <v>306</v>
      </c>
      <c r="H58" t="s">
        <v>100</v>
      </c>
      <c r="I58" t="s">
        <v>42</v>
      </c>
      <c r="J58" t="s">
        <v>26</v>
      </c>
      <c r="K58" t="s">
        <v>27</v>
      </c>
      <c r="L58" t="s">
        <v>53</v>
      </c>
      <c r="M58" t="s">
        <v>29</v>
      </c>
      <c r="N58" t="s">
        <v>64</v>
      </c>
      <c r="O58" t="s">
        <v>31</v>
      </c>
      <c r="P58" t="s">
        <v>414</v>
      </c>
      <c r="Q58" t="s">
        <v>415</v>
      </c>
      <c r="R58" t="s">
        <v>114</v>
      </c>
      <c r="S58" t="s">
        <v>416</v>
      </c>
    </row>
    <row r="59" ht="55" customHeight="1" spans="1:19">
      <c r="A59" s="1" t="str">
        <f>_xlfn.DISPIMG("ID_90187232657844AAAD4C7B99F8DB7DAD",1)</f>
        <v>=DISPIMG("ID_90187232657844AAAD4C7B99F8DB7DAD",1)</v>
      </c>
      <c r="B59" t="s">
        <v>417</v>
      </c>
      <c r="C59" t="s">
        <v>418</v>
      </c>
      <c r="D59" t="s">
        <v>253</v>
      </c>
      <c r="E59" t="s">
        <v>161</v>
      </c>
      <c r="F59" t="s">
        <v>91</v>
      </c>
      <c r="G59" t="s">
        <v>419</v>
      </c>
      <c r="H59" t="s">
        <v>164</v>
      </c>
      <c r="I59" t="s">
        <v>175</v>
      </c>
      <c r="J59" t="s">
        <v>26</v>
      </c>
      <c r="K59" t="s">
        <v>27</v>
      </c>
      <c r="L59" t="s">
        <v>53</v>
      </c>
      <c r="M59" t="s">
        <v>93</v>
      </c>
      <c r="N59" t="s">
        <v>30</v>
      </c>
      <c r="O59" t="s">
        <v>31</v>
      </c>
      <c r="P59" t="s">
        <v>75</v>
      </c>
      <c r="Q59" t="s">
        <v>359</v>
      </c>
      <c r="R59" t="s">
        <v>420</v>
      </c>
      <c r="S59" t="s">
        <v>421</v>
      </c>
    </row>
    <row r="60" ht="55" customHeight="1" spans="1:19">
      <c r="A60" s="1" t="str">
        <f>_xlfn.DISPIMG("ID_A5BC55DE032A41A2AA8A3B34962549EC",1)</f>
        <v>=DISPIMG("ID_A5BC55DE032A41A2AA8A3B34962549EC",1)</v>
      </c>
      <c r="B60" t="s">
        <v>399</v>
      </c>
      <c r="C60" t="s">
        <v>422</v>
      </c>
      <c r="D60" t="s">
        <v>60</v>
      </c>
      <c r="E60" t="s">
        <v>61</v>
      </c>
      <c r="F60" t="s">
        <v>401</v>
      </c>
      <c r="G60" t="s">
        <v>101</v>
      </c>
      <c r="H60" t="s">
        <v>63</v>
      </c>
      <c r="I60" t="s">
        <v>175</v>
      </c>
      <c r="J60" t="s">
        <v>26</v>
      </c>
      <c r="K60" t="s">
        <v>27</v>
      </c>
      <c r="L60" t="s">
        <v>28</v>
      </c>
      <c r="M60" t="s">
        <v>403</v>
      </c>
      <c r="N60" t="s">
        <v>64</v>
      </c>
      <c r="O60" t="s">
        <v>404</v>
      </c>
      <c r="P60" t="s">
        <v>75</v>
      </c>
      <c r="Q60" t="s">
        <v>113</v>
      </c>
      <c r="R60" t="s">
        <v>324</v>
      </c>
      <c r="S60" t="s">
        <v>423</v>
      </c>
    </row>
    <row r="61" ht="55" customHeight="1" spans="1:19">
      <c r="A61" s="1" t="str">
        <f>_xlfn.DISPIMG("ID_2FA8EBF641CA4C72BF23B5A5B2311164",1)</f>
        <v>=DISPIMG("ID_2FA8EBF641CA4C72BF23B5A5B2311164",1)</v>
      </c>
      <c r="B61" t="s">
        <v>170</v>
      </c>
      <c r="C61" t="s">
        <v>424</v>
      </c>
      <c r="D61" t="s">
        <v>425</v>
      </c>
      <c r="E61" t="s">
        <v>100</v>
      </c>
      <c r="F61" t="s">
        <v>173</v>
      </c>
      <c r="G61" t="s">
        <v>426</v>
      </c>
      <c r="H61" t="s">
        <v>100</v>
      </c>
      <c r="I61" t="s">
        <v>175</v>
      </c>
      <c r="J61" t="s">
        <v>26</v>
      </c>
      <c r="K61" t="s">
        <v>27</v>
      </c>
      <c r="L61" t="s">
        <v>28</v>
      </c>
      <c r="M61" t="s">
        <v>93</v>
      </c>
      <c r="N61" t="s">
        <v>64</v>
      </c>
      <c r="O61" t="s">
        <v>31</v>
      </c>
      <c r="P61" t="s">
        <v>65</v>
      </c>
      <c r="Q61" t="s">
        <v>427</v>
      </c>
      <c r="R61" t="s">
        <v>176</v>
      </c>
      <c r="S61" t="s">
        <v>428</v>
      </c>
    </row>
    <row r="62" ht="55" customHeight="1" spans="1:19">
      <c r="A62" s="1" t="str">
        <f>_xlfn.DISPIMG("ID_994D7013535F4DD9B0D100CA85C3162F",1)</f>
        <v>=DISPIMG("ID_994D7013535F4DD9B0D100CA85C3162F",1)</v>
      </c>
      <c r="B62" t="s">
        <v>429</v>
      </c>
      <c r="C62" t="s">
        <v>430</v>
      </c>
      <c r="D62" t="s">
        <v>379</v>
      </c>
      <c r="E62" t="s">
        <v>119</v>
      </c>
      <c r="F62" t="s">
        <v>91</v>
      </c>
      <c r="G62" t="s">
        <v>431</v>
      </c>
      <c r="H62" t="s">
        <v>119</v>
      </c>
      <c r="I62" t="s">
        <v>25</v>
      </c>
      <c r="J62" t="s">
        <v>26</v>
      </c>
      <c r="K62" t="s">
        <v>27</v>
      </c>
      <c r="L62" t="s">
        <v>28</v>
      </c>
      <c r="M62" t="s">
        <v>93</v>
      </c>
      <c r="N62" t="s">
        <v>30</v>
      </c>
      <c r="O62" t="s">
        <v>31</v>
      </c>
      <c r="P62" t="s">
        <v>146</v>
      </c>
      <c r="Q62" t="s">
        <v>66</v>
      </c>
      <c r="R62" t="s">
        <v>432</v>
      </c>
      <c r="S62" t="s">
        <v>433</v>
      </c>
    </row>
    <row r="63" ht="55" customHeight="1" spans="1:19">
      <c r="A63" s="1" t="str">
        <f>_xlfn.DISPIMG("ID_7A427E2AF4AF401B94B3EAC81686CC05",1)</f>
        <v>=DISPIMG("ID_7A427E2AF4AF401B94B3EAC81686CC05",1)</v>
      </c>
      <c r="B63" t="s">
        <v>242</v>
      </c>
      <c r="C63" t="s">
        <v>434</v>
      </c>
      <c r="D63" t="s">
        <v>435</v>
      </c>
      <c r="E63" t="s">
        <v>63</v>
      </c>
      <c r="F63" t="s">
        <v>245</v>
      </c>
      <c r="G63" t="s">
        <v>436</v>
      </c>
      <c r="H63" t="s">
        <v>238</v>
      </c>
      <c r="I63" t="s">
        <v>165</v>
      </c>
      <c r="J63" t="s">
        <v>26</v>
      </c>
      <c r="K63" t="s">
        <v>27</v>
      </c>
      <c r="L63" t="s">
        <v>231</v>
      </c>
      <c r="M63" t="s">
        <v>93</v>
      </c>
      <c r="N63" t="s">
        <v>30</v>
      </c>
      <c r="O63" t="s">
        <v>31</v>
      </c>
      <c r="P63" t="s">
        <v>437</v>
      </c>
      <c r="Q63" t="s">
        <v>33</v>
      </c>
      <c r="R63" t="s">
        <v>249</v>
      </c>
      <c r="S63" t="s">
        <v>438</v>
      </c>
    </row>
    <row r="64" ht="55" customHeight="1" spans="1:19">
      <c r="A64" s="1" t="str">
        <f>_xlfn.DISPIMG("ID_B806D66D8C524C6EB504BF29807C7146",1)</f>
        <v>=DISPIMG("ID_B806D66D8C524C6EB504BF29807C7146",1)</v>
      </c>
      <c r="B64" t="s">
        <v>439</v>
      </c>
      <c r="C64" t="s">
        <v>278</v>
      </c>
      <c r="D64" t="s">
        <v>108</v>
      </c>
      <c r="E64" t="s">
        <v>109</v>
      </c>
      <c r="F64" t="s">
        <v>91</v>
      </c>
      <c r="G64" t="s">
        <v>127</v>
      </c>
      <c r="H64" t="s">
        <v>111</v>
      </c>
      <c r="I64" t="s">
        <v>137</v>
      </c>
      <c r="J64" t="s">
        <v>26</v>
      </c>
      <c r="K64" t="s">
        <v>27</v>
      </c>
      <c r="L64" t="s">
        <v>28</v>
      </c>
      <c r="M64" t="s">
        <v>93</v>
      </c>
      <c r="N64" t="s">
        <v>30</v>
      </c>
      <c r="O64" t="s">
        <v>31</v>
      </c>
      <c r="P64" t="s">
        <v>414</v>
      </c>
      <c r="Q64" t="s">
        <v>190</v>
      </c>
      <c r="R64" t="s">
        <v>191</v>
      </c>
      <c r="S64" t="s">
        <v>440</v>
      </c>
    </row>
    <row r="65" ht="55" customHeight="1" spans="1:19">
      <c r="A65" s="1" t="str">
        <f>_xlfn.DISPIMG("ID_61EB4C586AC844E3808CC3B36AFF0F35",1)</f>
        <v>=DISPIMG("ID_61EB4C586AC844E3808CC3B36AFF0F35",1)</v>
      </c>
      <c r="B65" t="s">
        <v>441</v>
      </c>
      <c r="C65" t="s">
        <v>187</v>
      </c>
      <c r="D65" t="s">
        <v>442</v>
      </c>
      <c r="E65" t="s">
        <v>82</v>
      </c>
      <c r="F65" t="s">
        <v>162</v>
      </c>
      <c r="G65" t="s">
        <v>431</v>
      </c>
      <c r="H65" t="s">
        <v>84</v>
      </c>
      <c r="I65" t="s">
        <v>165</v>
      </c>
      <c r="J65" t="s">
        <v>26</v>
      </c>
      <c r="K65" t="s">
        <v>27</v>
      </c>
      <c r="L65" t="s">
        <v>231</v>
      </c>
      <c r="M65" t="s">
        <v>166</v>
      </c>
      <c r="N65" t="s">
        <v>30</v>
      </c>
      <c r="O65" t="s">
        <v>31</v>
      </c>
      <c r="P65" t="s">
        <v>65</v>
      </c>
      <c r="Q65" t="s">
        <v>76</v>
      </c>
      <c r="R65" t="s">
        <v>168</v>
      </c>
      <c r="S65" t="s">
        <v>443</v>
      </c>
    </row>
    <row r="66" ht="55" customHeight="1" spans="1:19">
      <c r="A66" s="1" t="str">
        <f>_xlfn.DISPIMG("ID_ED76E02466A040BF969CE49F245887FE",1)</f>
        <v>=DISPIMG("ID_ED76E02466A040BF969CE49F245887FE",1)</v>
      </c>
      <c r="B66" t="s">
        <v>36</v>
      </c>
      <c r="C66" t="s">
        <v>382</v>
      </c>
      <c r="D66" t="s">
        <v>368</v>
      </c>
      <c r="E66" t="s">
        <v>135</v>
      </c>
      <c r="F66" t="s">
        <v>40</v>
      </c>
      <c r="G66" t="s">
        <v>444</v>
      </c>
      <c r="H66" t="s">
        <v>445</v>
      </c>
      <c r="I66" t="s">
        <v>42</v>
      </c>
      <c r="J66" t="s">
        <v>26</v>
      </c>
      <c r="K66" t="s">
        <v>27</v>
      </c>
      <c r="L66" t="s">
        <v>28</v>
      </c>
      <c r="M66" t="s">
        <v>29</v>
      </c>
      <c r="N66" t="s">
        <v>30</v>
      </c>
      <c r="O66" t="s">
        <v>31</v>
      </c>
      <c r="P66" t="s">
        <v>146</v>
      </c>
      <c r="Q66" t="s">
        <v>297</v>
      </c>
      <c r="R66" t="s">
        <v>45</v>
      </c>
      <c r="S66" t="s">
        <v>446</v>
      </c>
    </row>
    <row r="67" ht="55" customHeight="1" spans="1:19">
      <c r="A67" s="1" t="str">
        <f>_xlfn.DISPIMG("ID_9F204F2833E14BFA88D7E82388ADB9FA",1)</f>
        <v>=DISPIMG("ID_9F204F2833E14BFA88D7E82388ADB9FA",1)</v>
      </c>
      <c r="B67" t="s">
        <v>447</v>
      </c>
      <c r="C67" t="s">
        <v>314</v>
      </c>
      <c r="D67" t="s">
        <v>448</v>
      </c>
      <c r="E67" t="s">
        <v>72</v>
      </c>
      <c r="F67" t="s">
        <v>162</v>
      </c>
      <c r="G67" t="s">
        <v>449</v>
      </c>
      <c r="H67" t="s">
        <v>72</v>
      </c>
      <c r="I67" t="s">
        <v>175</v>
      </c>
      <c r="J67" t="s">
        <v>26</v>
      </c>
      <c r="K67" t="s">
        <v>27</v>
      </c>
      <c r="L67" t="s">
        <v>28</v>
      </c>
      <c r="M67" t="s">
        <v>166</v>
      </c>
      <c r="N67" t="s">
        <v>30</v>
      </c>
      <c r="O67" t="s">
        <v>31</v>
      </c>
      <c r="P67" t="s">
        <v>75</v>
      </c>
      <c r="Q67" t="s">
        <v>76</v>
      </c>
      <c r="R67" t="s">
        <v>450</v>
      </c>
      <c r="S67" t="s">
        <v>451</v>
      </c>
    </row>
    <row r="68" ht="55" customHeight="1" spans="1:19">
      <c r="A68" s="1" t="str">
        <f>_xlfn.DISPIMG("ID_7A2AAC49BA324BE2941300FD1605C996",1)</f>
        <v>=DISPIMG("ID_7A2AAC49BA324BE2941300FD1605C996",1)</v>
      </c>
      <c r="B68" t="s">
        <v>452</v>
      </c>
      <c r="C68" t="s">
        <v>453</v>
      </c>
      <c r="D68" t="s">
        <v>454</v>
      </c>
      <c r="E68" t="s">
        <v>135</v>
      </c>
      <c r="F68" t="s">
        <v>173</v>
      </c>
      <c r="G68" t="s">
        <v>127</v>
      </c>
      <c r="H68" t="s">
        <v>445</v>
      </c>
      <c r="I68" t="s">
        <v>137</v>
      </c>
      <c r="J68" t="s">
        <v>26</v>
      </c>
      <c r="K68" t="s">
        <v>27</v>
      </c>
      <c r="L68" t="s">
        <v>28</v>
      </c>
      <c r="M68" t="s">
        <v>93</v>
      </c>
      <c r="N68" t="s">
        <v>30</v>
      </c>
      <c r="O68" t="s">
        <v>31</v>
      </c>
      <c r="P68" t="s">
        <v>455</v>
      </c>
      <c r="Q68" t="s">
        <v>369</v>
      </c>
      <c r="R68" t="s">
        <v>456</v>
      </c>
      <c r="S68" t="s">
        <v>457</v>
      </c>
    </row>
    <row r="69" ht="55" customHeight="1" spans="1:19">
      <c r="A69" s="1" t="str">
        <f>_xlfn.DISPIMG("ID_920B2084D5354822A86ACAF6B925BE45",1)</f>
        <v>=DISPIMG("ID_920B2084D5354822A86ACAF6B925BE45",1)</v>
      </c>
      <c r="B69" t="s">
        <v>458</v>
      </c>
      <c r="C69" t="s">
        <v>459</v>
      </c>
      <c r="D69" t="s">
        <v>460</v>
      </c>
      <c r="E69" t="s">
        <v>461</v>
      </c>
      <c r="F69" t="s">
        <v>173</v>
      </c>
      <c r="G69" t="s">
        <v>462</v>
      </c>
      <c r="H69" t="s">
        <v>392</v>
      </c>
      <c r="I69" t="s">
        <v>175</v>
      </c>
      <c r="J69" t="s">
        <v>26</v>
      </c>
      <c r="K69" t="s">
        <v>27</v>
      </c>
      <c r="L69" t="s">
        <v>28</v>
      </c>
      <c r="M69" t="s">
        <v>93</v>
      </c>
      <c r="N69" t="s">
        <v>30</v>
      </c>
      <c r="O69" t="s">
        <v>31</v>
      </c>
      <c r="P69" t="s">
        <v>463</v>
      </c>
      <c r="Q69" t="s">
        <v>167</v>
      </c>
      <c r="R69" t="s">
        <v>147</v>
      </c>
      <c r="S69" t="s">
        <v>464</v>
      </c>
    </row>
    <row r="70" ht="55" customHeight="1" spans="1:19">
      <c r="A70" s="1" t="str">
        <f>_xlfn.DISPIMG("ID_8E79908797C04DD8B146750902CE66A4",1)</f>
        <v>=DISPIMG("ID_8E79908797C04DD8B146750902CE66A4",1)</v>
      </c>
      <c r="B70" t="s">
        <v>465</v>
      </c>
      <c r="C70" t="s">
        <v>391</v>
      </c>
      <c r="D70" t="s">
        <v>466</v>
      </c>
      <c r="E70" t="s">
        <v>50</v>
      </c>
      <c r="F70" t="s">
        <v>40</v>
      </c>
      <c r="G70" t="s">
        <v>467</v>
      </c>
      <c r="H70" t="s">
        <v>50</v>
      </c>
      <c r="I70" t="s">
        <v>42</v>
      </c>
      <c r="J70" t="s">
        <v>26</v>
      </c>
      <c r="K70" t="s">
        <v>27</v>
      </c>
      <c r="L70" t="s">
        <v>28</v>
      </c>
      <c r="M70" t="s">
        <v>29</v>
      </c>
      <c r="N70" t="s">
        <v>30</v>
      </c>
      <c r="O70" t="s">
        <v>31</v>
      </c>
      <c r="P70" t="s">
        <v>32</v>
      </c>
      <c r="Q70" t="s">
        <v>468</v>
      </c>
      <c r="R70" t="s">
        <v>45</v>
      </c>
      <c r="S70" t="s">
        <v>469</v>
      </c>
    </row>
    <row r="71" ht="55" customHeight="1" spans="1:19">
      <c r="A71" s="1" t="str">
        <f>_xlfn.DISPIMG("ID_2268209D095D450AAD3FA8EDDBC98BAD",1)</f>
        <v>=DISPIMG("ID_2268209D095D450AAD3FA8EDDBC98BAD",1)</v>
      </c>
      <c r="B71" t="s">
        <v>470</v>
      </c>
      <c r="C71" t="s">
        <v>471</v>
      </c>
      <c r="D71" t="s">
        <v>400</v>
      </c>
      <c r="E71" t="s">
        <v>211</v>
      </c>
      <c r="F71" t="s">
        <v>51</v>
      </c>
      <c r="G71" t="s">
        <v>101</v>
      </c>
      <c r="H71" t="s">
        <v>211</v>
      </c>
      <c r="I71" t="s">
        <v>42</v>
      </c>
      <c r="J71" t="s">
        <v>26</v>
      </c>
      <c r="K71" t="s">
        <v>27</v>
      </c>
      <c r="L71" t="s">
        <v>53</v>
      </c>
      <c r="M71" t="s">
        <v>29</v>
      </c>
      <c r="N71" t="s">
        <v>472</v>
      </c>
      <c r="O71" t="s">
        <v>31</v>
      </c>
      <c r="P71" t="s">
        <v>473</v>
      </c>
      <c r="Q71" t="s">
        <v>474</v>
      </c>
      <c r="R71" t="s">
        <v>409</v>
      </c>
      <c r="S71" t="s">
        <v>475</v>
      </c>
    </row>
    <row r="72" ht="55" customHeight="1" spans="1:19">
      <c r="A72" s="1" t="str">
        <f>_xlfn.DISPIMG("ID_E2889FB8BA604CB29AC66FE712AF114D",1)</f>
        <v>=DISPIMG("ID_E2889FB8BA604CB29AC66FE712AF114D",1)</v>
      </c>
      <c r="B72" t="s">
        <v>476</v>
      </c>
      <c r="C72" t="s">
        <v>386</v>
      </c>
      <c r="D72" t="s">
        <v>412</v>
      </c>
      <c r="E72" t="s">
        <v>413</v>
      </c>
      <c r="F72" t="s">
        <v>40</v>
      </c>
      <c r="G72" t="s">
        <v>477</v>
      </c>
      <c r="H72" t="s">
        <v>100</v>
      </c>
      <c r="I72" t="s">
        <v>42</v>
      </c>
      <c r="J72" t="s">
        <v>26</v>
      </c>
      <c r="K72" t="s">
        <v>27</v>
      </c>
      <c r="L72" t="s">
        <v>28</v>
      </c>
      <c r="M72" t="s">
        <v>29</v>
      </c>
      <c r="N72" t="s">
        <v>30</v>
      </c>
      <c r="O72" t="s">
        <v>31</v>
      </c>
      <c r="P72" t="s">
        <v>75</v>
      </c>
      <c r="Q72" t="s">
        <v>155</v>
      </c>
      <c r="R72" t="s">
        <v>114</v>
      </c>
      <c r="S72" t="s">
        <v>478</v>
      </c>
    </row>
    <row r="73" ht="55" customHeight="1" spans="1:19">
      <c r="A73" s="1" t="str">
        <f>_xlfn.DISPIMG("ID_B41DB9D16AAC4F24AA2C875337C81DC9",1)</f>
        <v>=DISPIMG("ID_B41DB9D16AAC4F24AA2C875337C81DC9",1)</v>
      </c>
      <c r="B73" t="s">
        <v>282</v>
      </c>
      <c r="C73" t="s">
        <v>479</v>
      </c>
      <c r="D73" t="s">
        <v>466</v>
      </c>
      <c r="E73" t="s">
        <v>50</v>
      </c>
      <c r="F73" t="s">
        <v>40</v>
      </c>
      <c r="G73" t="s">
        <v>73</v>
      </c>
      <c r="H73" t="s">
        <v>50</v>
      </c>
      <c r="I73" t="s">
        <v>42</v>
      </c>
      <c r="J73" t="s">
        <v>26</v>
      </c>
      <c r="K73" t="s">
        <v>27</v>
      </c>
      <c r="L73" t="s">
        <v>74</v>
      </c>
      <c r="M73" t="s">
        <v>29</v>
      </c>
      <c r="N73" t="s">
        <v>30</v>
      </c>
      <c r="O73" t="s">
        <v>31</v>
      </c>
      <c r="P73" t="s">
        <v>138</v>
      </c>
      <c r="Q73" t="s">
        <v>297</v>
      </c>
      <c r="R73" t="s">
        <v>45</v>
      </c>
      <c r="S73" t="s">
        <v>480</v>
      </c>
    </row>
    <row r="74" ht="55" customHeight="1" spans="1:19">
      <c r="A74" s="1" t="str">
        <f>_xlfn.DISPIMG("ID_755BECF1DC2343B79D823606C27C186C",1)</f>
        <v>=DISPIMG("ID_755BECF1DC2343B79D823606C27C186C",1)</v>
      </c>
      <c r="B74" t="s">
        <v>481</v>
      </c>
      <c r="C74" t="s">
        <v>482</v>
      </c>
      <c r="D74" t="s">
        <v>483</v>
      </c>
      <c r="E74" t="s">
        <v>484</v>
      </c>
      <c r="F74" t="s">
        <v>40</v>
      </c>
      <c r="G74" t="s">
        <v>485</v>
      </c>
      <c r="H74" t="s">
        <v>486</v>
      </c>
      <c r="I74" t="s">
        <v>487</v>
      </c>
      <c r="J74" t="s">
        <v>26</v>
      </c>
      <c r="K74" t="s">
        <v>27</v>
      </c>
      <c r="L74" t="s">
        <v>74</v>
      </c>
      <c r="M74" t="s">
        <v>29</v>
      </c>
      <c r="N74" t="s">
        <v>30</v>
      </c>
      <c r="O74" t="s">
        <v>31</v>
      </c>
      <c r="P74" t="s">
        <v>75</v>
      </c>
      <c r="Q74" t="s">
        <v>427</v>
      </c>
      <c r="R74" t="s">
        <v>147</v>
      </c>
      <c r="S74" t="s">
        <v>488</v>
      </c>
    </row>
    <row r="75" ht="55" customHeight="1" spans="1:19">
      <c r="A75" s="1" t="str">
        <f>_xlfn.DISPIMG("ID_8F47B0D862F84129B5437A0C4B92617C",1)</f>
        <v>=DISPIMG("ID_8F47B0D862F84129B5437A0C4B92617C",1)</v>
      </c>
      <c r="B75" t="s">
        <v>441</v>
      </c>
      <c r="C75" t="s">
        <v>489</v>
      </c>
      <c r="D75" t="s">
        <v>90</v>
      </c>
      <c r="E75" t="s">
        <v>39</v>
      </c>
      <c r="F75" t="s">
        <v>162</v>
      </c>
      <c r="G75" t="s">
        <v>490</v>
      </c>
      <c r="H75" t="s">
        <v>39</v>
      </c>
      <c r="I75" t="s">
        <v>165</v>
      </c>
      <c r="J75" t="s">
        <v>26</v>
      </c>
      <c r="K75" t="s">
        <v>27</v>
      </c>
      <c r="L75" t="s">
        <v>28</v>
      </c>
      <c r="M75" t="s">
        <v>166</v>
      </c>
      <c r="N75" t="s">
        <v>30</v>
      </c>
      <c r="O75" t="s">
        <v>31</v>
      </c>
      <c r="P75" t="s">
        <v>491</v>
      </c>
      <c r="Q75" t="s">
        <v>292</v>
      </c>
      <c r="R75" t="s">
        <v>168</v>
      </c>
      <c r="S75" t="s">
        <v>492</v>
      </c>
    </row>
    <row r="76" ht="55" customHeight="1" spans="1:19">
      <c r="A76" s="1" t="str">
        <f>_xlfn.DISPIMG("ID_3E4B44EC51994E94A4C4A3D9F1AE0E3A",1)</f>
        <v>=DISPIMG("ID_3E4B44EC51994E94A4C4A3D9F1AE0E3A",1)</v>
      </c>
      <c r="B76" t="s">
        <v>158</v>
      </c>
      <c r="C76" t="s">
        <v>187</v>
      </c>
      <c r="D76" t="s">
        <v>180</v>
      </c>
      <c r="E76" t="s">
        <v>111</v>
      </c>
      <c r="F76" t="s">
        <v>162</v>
      </c>
      <c r="G76" t="s">
        <v>317</v>
      </c>
      <c r="H76" t="s">
        <v>111</v>
      </c>
      <c r="I76" t="s">
        <v>165</v>
      </c>
      <c r="J76" t="s">
        <v>26</v>
      </c>
      <c r="K76" t="s">
        <v>27</v>
      </c>
      <c r="L76" t="s">
        <v>28</v>
      </c>
      <c r="M76" t="s">
        <v>166</v>
      </c>
      <c r="N76" t="s">
        <v>30</v>
      </c>
      <c r="O76" t="s">
        <v>31</v>
      </c>
      <c r="P76" t="s">
        <v>182</v>
      </c>
      <c r="Q76" t="s">
        <v>76</v>
      </c>
      <c r="R76" t="s">
        <v>168</v>
      </c>
      <c r="S76" t="s">
        <v>493</v>
      </c>
    </row>
    <row r="77" ht="55" customHeight="1" spans="1:19">
      <c r="A77" s="1" t="str">
        <f>_xlfn.DISPIMG("ID_CB19F7DC4A1F489483BC9721ACC410F0",1)</f>
        <v>=DISPIMG("ID_CB19F7DC4A1F489483BC9721ACC410F0",1)</v>
      </c>
      <c r="B77" t="s">
        <v>320</v>
      </c>
      <c r="C77" t="s">
        <v>494</v>
      </c>
      <c r="D77" t="s">
        <v>442</v>
      </c>
      <c r="E77" t="s">
        <v>82</v>
      </c>
      <c r="F77" t="s">
        <v>173</v>
      </c>
      <c r="G77" t="s">
        <v>495</v>
      </c>
      <c r="H77" t="s">
        <v>84</v>
      </c>
      <c r="I77" t="s">
        <v>175</v>
      </c>
      <c r="J77" t="s">
        <v>26</v>
      </c>
      <c r="K77" t="s">
        <v>27</v>
      </c>
      <c r="L77" t="s">
        <v>28</v>
      </c>
      <c r="M77" t="s">
        <v>93</v>
      </c>
      <c r="N77" t="s">
        <v>30</v>
      </c>
      <c r="O77" t="s">
        <v>31</v>
      </c>
      <c r="P77" t="s">
        <v>146</v>
      </c>
      <c r="Q77" t="s">
        <v>155</v>
      </c>
      <c r="R77" t="s">
        <v>324</v>
      </c>
      <c r="S77" t="s">
        <v>496</v>
      </c>
    </row>
    <row r="78" ht="55" customHeight="1" spans="1:19">
      <c r="A78" s="1" t="str">
        <f>_xlfn.DISPIMG("ID_1D8BB0EE56934656945D1E37E82ABF00",1)</f>
        <v>=DISPIMG("ID_1D8BB0EE56934656945D1E37E82ABF00",1)</v>
      </c>
      <c r="B78" t="s">
        <v>497</v>
      </c>
      <c r="C78" t="s">
        <v>498</v>
      </c>
      <c r="D78" t="s">
        <v>499</v>
      </c>
      <c r="E78" t="s">
        <v>119</v>
      </c>
      <c r="F78" t="s">
        <v>162</v>
      </c>
      <c r="G78" t="s">
        <v>500</v>
      </c>
      <c r="H78" t="s">
        <v>119</v>
      </c>
      <c r="I78" t="s">
        <v>175</v>
      </c>
      <c r="J78" t="s">
        <v>26</v>
      </c>
      <c r="K78" t="s">
        <v>27</v>
      </c>
      <c r="L78" t="s">
        <v>329</v>
      </c>
      <c r="M78" t="s">
        <v>166</v>
      </c>
      <c r="N78" t="s">
        <v>30</v>
      </c>
      <c r="O78" t="s">
        <v>31</v>
      </c>
      <c r="P78" t="s">
        <v>146</v>
      </c>
      <c r="Q78" t="s">
        <v>501</v>
      </c>
      <c r="R78" t="s">
        <v>502</v>
      </c>
      <c r="S78" t="s">
        <v>503</v>
      </c>
    </row>
    <row r="79" ht="55" customHeight="1" spans="1:19">
      <c r="A79" s="1" t="str">
        <f>_xlfn.DISPIMG("ID_F9C7927414964E08A3C01ED5BBE6D721",1)</f>
        <v>=DISPIMG("ID_F9C7927414964E08A3C01ED5BBE6D721",1)</v>
      </c>
      <c r="B79" t="s">
        <v>504</v>
      </c>
      <c r="C79" t="s">
        <v>505</v>
      </c>
      <c r="D79" t="s">
        <v>506</v>
      </c>
      <c r="E79" t="s">
        <v>507</v>
      </c>
      <c r="F79" t="s">
        <v>401</v>
      </c>
      <c r="G79" t="s">
        <v>284</v>
      </c>
      <c r="H79" t="s">
        <v>135</v>
      </c>
      <c r="I79" t="s">
        <v>175</v>
      </c>
      <c r="J79" t="s">
        <v>26</v>
      </c>
      <c r="K79" t="s">
        <v>27</v>
      </c>
      <c r="L79" t="s">
        <v>28</v>
      </c>
      <c r="M79" t="s">
        <v>403</v>
      </c>
      <c r="N79" t="s">
        <v>30</v>
      </c>
      <c r="O79" t="s">
        <v>404</v>
      </c>
      <c r="P79" t="s">
        <v>65</v>
      </c>
      <c r="Q79" t="s">
        <v>113</v>
      </c>
      <c r="R79" t="s">
        <v>324</v>
      </c>
      <c r="S79" t="s">
        <v>508</v>
      </c>
    </row>
    <row r="80" ht="55" customHeight="1" spans="1:19">
      <c r="A80" s="1" t="str">
        <f>_xlfn.DISPIMG("ID_6B58FE53BFD9422A907B5480F802D1D8",1)</f>
        <v>=DISPIMG("ID_6B58FE53BFD9422A907B5480F802D1D8",1)</v>
      </c>
      <c r="B80" t="s">
        <v>509</v>
      </c>
      <c r="C80" t="s">
        <v>510</v>
      </c>
      <c r="D80" t="s">
        <v>511</v>
      </c>
      <c r="E80" t="s">
        <v>197</v>
      </c>
      <c r="F80" t="s">
        <v>512</v>
      </c>
      <c r="G80" t="s">
        <v>383</v>
      </c>
      <c r="H80" t="s">
        <v>197</v>
      </c>
      <c r="I80" t="s">
        <v>137</v>
      </c>
      <c r="J80" t="s">
        <v>26</v>
      </c>
      <c r="K80" t="s">
        <v>27</v>
      </c>
      <c r="L80" t="s">
        <v>74</v>
      </c>
      <c r="M80" t="s">
        <v>513</v>
      </c>
      <c r="N80" t="s">
        <v>64</v>
      </c>
      <c r="O80" t="s">
        <v>31</v>
      </c>
      <c r="P80" t="s">
        <v>274</v>
      </c>
      <c r="Q80" t="s">
        <v>514</v>
      </c>
      <c r="R80" t="s">
        <v>147</v>
      </c>
      <c r="S80" t="s">
        <v>515</v>
      </c>
    </row>
    <row r="81" ht="55" customHeight="1" spans="1:19">
      <c r="A81" s="1" t="str">
        <f>_xlfn.DISPIMG("ID_9A2D2F76FF5942318E0B64EE7109C3C2",1)</f>
        <v>=DISPIMG("ID_9A2D2F76FF5942318E0B64EE7109C3C2",1)</v>
      </c>
      <c r="B81" t="s">
        <v>516</v>
      </c>
      <c r="C81" t="s">
        <v>517</v>
      </c>
      <c r="D81" t="s">
        <v>151</v>
      </c>
      <c r="E81" t="s">
        <v>518</v>
      </c>
      <c r="F81" t="s">
        <v>519</v>
      </c>
      <c r="G81" t="s">
        <v>520</v>
      </c>
      <c r="H81" t="s">
        <v>518</v>
      </c>
      <c r="I81" t="s">
        <v>487</v>
      </c>
      <c r="J81" t="s">
        <v>26</v>
      </c>
      <c r="K81" t="s">
        <v>27</v>
      </c>
      <c r="L81" t="s">
        <v>74</v>
      </c>
      <c r="M81" t="s">
        <v>29</v>
      </c>
      <c r="N81" t="s">
        <v>30</v>
      </c>
      <c r="O81" t="s">
        <v>31</v>
      </c>
      <c r="P81" t="s">
        <v>65</v>
      </c>
      <c r="Q81" t="s">
        <v>427</v>
      </c>
      <c r="R81" t="s">
        <v>147</v>
      </c>
      <c r="S81" t="s">
        <v>521</v>
      </c>
    </row>
    <row r="82" ht="55" customHeight="1" spans="1:19">
      <c r="A82" s="1" t="str">
        <f>_xlfn.DISPIMG("ID_C9FA610F8F5241E4AD106873F153DBA2",1)</f>
        <v>=DISPIMG("ID_C9FA610F8F5241E4AD106873F153DBA2",1)</v>
      </c>
      <c r="B82" t="s">
        <v>522</v>
      </c>
      <c r="C82" t="s">
        <v>523</v>
      </c>
      <c r="D82" t="s">
        <v>524</v>
      </c>
      <c r="E82" t="s">
        <v>63</v>
      </c>
      <c r="F82" t="s">
        <v>40</v>
      </c>
      <c r="G82" t="s">
        <v>317</v>
      </c>
      <c r="H82" t="s">
        <v>63</v>
      </c>
      <c r="I82" t="s">
        <v>25</v>
      </c>
      <c r="J82" t="s">
        <v>26</v>
      </c>
      <c r="K82" t="s">
        <v>27</v>
      </c>
      <c r="L82" t="s">
        <v>28</v>
      </c>
      <c r="M82" t="s">
        <v>29</v>
      </c>
      <c r="N82" t="s">
        <v>64</v>
      </c>
      <c r="O82" t="s">
        <v>153</v>
      </c>
      <c r="P82" t="s">
        <v>75</v>
      </c>
      <c r="Q82" t="s">
        <v>525</v>
      </c>
      <c r="R82" t="s">
        <v>526</v>
      </c>
      <c r="S82" t="s">
        <v>527</v>
      </c>
    </row>
    <row r="83" ht="55" customHeight="1" spans="1:19">
      <c r="A83" s="1" t="str">
        <f>_xlfn.DISPIMG("ID_B8D269FC269B45F6A841468927279550",1)</f>
        <v>=DISPIMG("ID_B8D269FC269B45F6A841468927279550",1)</v>
      </c>
      <c r="B83" t="s">
        <v>193</v>
      </c>
      <c r="C83" t="s">
        <v>219</v>
      </c>
      <c r="D83" t="s">
        <v>448</v>
      </c>
      <c r="E83" t="s">
        <v>72</v>
      </c>
      <c r="F83" t="s">
        <v>173</v>
      </c>
      <c r="G83" t="s">
        <v>284</v>
      </c>
      <c r="H83" t="s">
        <v>72</v>
      </c>
      <c r="I83" t="s">
        <v>175</v>
      </c>
      <c r="J83" t="s">
        <v>26</v>
      </c>
      <c r="K83" t="s">
        <v>27</v>
      </c>
      <c r="L83" t="s">
        <v>329</v>
      </c>
      <c r="M83" t="s">
        <v>93</v>
      </c>
      <c r="N83" t="s">
        <v>30</v>
      </c>
      <c r="O83" t="s">
        <v>31</v>
      </c>
      <c r="P83" t="s">
        <v>75</v>
      </c>
      <c r="Q83" t="s">
        <v>167</v>
      </c>
      <c r="R83" t="s">
        <v>528</v>
      </c>
      <c r="S83" t="s">
        <v>529</v>
      </c>
    </row>
    <row r="84" ht="55" customHeight="1" spans="1:19">
      <c r="A84" s="1" t="str">
        <f>_xlfn.DISPIMG("ID_D372E44BB81E4830BF21AD948C14AC2C",1)</f>
        <v>=DISPIMG("ID_D372E44BB81E4830BF21AD948C14AC2C",1)</v>
      </c>
      <c r="B84" t="s">
        <v>465</v>
      </c>
      <c r="C84" t="s">
        <v>80</v>
      </c>
      <c r="D84" t="s">
        <v>483</v>
      </c>
      <c r="E84" t="s">
        <v>328</v>
      </c>
      <c r="F84" t="s">
        <v>40</v>
      </c>
      <c r="G84" t="s">
        <v>436</v>
      </c>
      <c r="H84" t="s">
        <v>119</v>
      </c>
      <c r="I84" t="s">
        <v>42</v>
      </c>
      <c r="J84" t="s">
        <v>26</v>
      </c>
      <c r="K84" t="s">
        <v>27</v>
      </c>
      <c r="L84" t="s">
        <v>74</v>
      </c>
      <c r="M84" t="s">
        <v>29</v>
      </c>
      <c r="N84" t="s">
        <v>30</v>
      </c>
      <c r="O84" t="s">
        <v>31</v>
      </c>
      <c r="P84" t="s">
        <v>530</v>
      </c>
      <c r="Q84" t="s">
        <v>85</v>
      </c>
      <c r="R84" t="s">
        <v>45</v>
      </c>
      <c r="S84" t="s">
        <v>531</v>
      </c>
    </row>
    <row r="85" ht="55" customHeight="1" spans="1:19">
      <c r="A85" s="1" t="str">
        <f>_xlfn.DISPIMG("ID_5E7E2BDC18AC41D5ADB5AD66C04CABE4",1)</f>
        <v>=DISPIMG("ID_5E7E2BDC18AC41D5ADB5AD66C04CABE4",1)</v>
      </c>
      <c r="B85" t="s">
        <v>465</v>
      </c>
      <c r="C85" t="s">
        <v>532</v>
      </c>
      <c r="D85" t="s">
        <v>435</v>
      </c>
      <c r="E85" t="s">
        <v>63</v>
      </c>
      <c r="F85" t="s">
        <v>40</v>
      </c>
      <c r="G85" t="s">
        <v>73</v>
      </c>
      <c r="H85" t="s">
        <v>63</v>
      </c>
      <c r="I85" t="s">
        <v>42</v>
      </c>
      <c r="J85" t="s">
        <v>26</v>
      </c>
      <c r="K85" t="s">
        <v>27</v>
      </c>
      <c r="L85" t="s">
        <v>74</v>
      </c>
      <c r="M85" t="s">
        <v>29</v>
      </c>
      <c r="N85" t="s">
        <v>30</v>
      </c>
      <c r="O85" t="s">
        <v>31</v>
      </c>
      <c r="P85" t="s">
        <v>154</v>
      </c>
      <c r="Q85" t="s">
        <v>468</v>
      </c>
      <c r="R85" t="s">
        <v>45</v>
      </c>
      <c r="S85" t="s">
        <v>533</v>
      </c>
    </row>
    <row r="86" ht="55" customHeight="1" spans="1:19">
      <c r="A86" s="1" t="str">
        <f>_xlfn.DISPIMG("ID_DF05C3870B224F1E953B833586202B04",1)</f>
        <v>=DISPIMG("ID_DF05C3870B224F1E953B833586202B04",1)</v>
      </c>
      <c r="B86" t="s">
        <v>534</v>
      </c>
      <c r="C86" t="s">
        <v>535</v>
      </c>
      <c r="D86" t="s">
        <v>536</v>
      </c>
      <c r="E86" t="s">
        <v>537</v>
      </c>
      <c r="F86" t="s">
        <v>40</v>
      </c>
      <c r="G86" t="s">
        <v>538</v>
      </c>
      <c r="H86" t="s">
        <v>537</v>
      </c>
      <c r="I86" t="s">
        <v>42</v>
      </c>
      <c r="J86" t="s">
        <v>26</v>
      </c>
      <c r="K86" t="s">
        <v>27</v>
      </c>
      <c r="L86" t="s">
        <v>323</v>
      </c>
      <c r="M86" t="s">
        <v>29</v>
      </c>
      <c r="N86" t="s">
        <v>30</v>
      </c>
      <c r="O86" t="s">
        <v>31</v>
      </c>
      <c r="P86" t="s">
        <v>247</v>
      </c>
      <c r="Q86" t="s">
        <v>539</v>
      </c>
      <c r="R86" t="s">
        <v>147</v>
      </c>
      <c r="S86" t="s">
        <v>540</v>
      </c>
    </row>
    <row r="87" ht="55" customHeight="1" spans="1:19">
      <c r="A87" s="1" t="str">
        <f>_xlfn.DISPIMG("ID_AEB4B74A7EAE4167A24C749CC008491A",1)</f>
        <v>=DISPIMG("ID_AEB4B74A7EAE4167A24C749CC008491A",1)</v>
      </c>
      <c r="B87" t="s">
        <v>58</v>
      </c>
      <c r="C87" t="s">
        <v>59</v>
      </c>
      <c r="D87" t="s">
        <v>315</v>
      </c>
      <c r="E87" t="s">
        <v>316</v>
      </c>
      <c r="F87" t="s">
        <v>51</v>
      </c>
      <c r="G87" t="s">
        <v>541</v>
      </c>
      <c r="H87" t="s">
        <v>144</v>
      </c>
      <c r="I87" t="s">
        <v>42</v>
      </c>
      <c r="J87" t="s">
        <v>26</v>
      </c>
      <c r="K87" t="s">
        <v>27</v>
      </c>
      <c r="L87" t="s">
        <v>28</v>
      </c>
      <c r="M87" t="s">
        <v>29</v>
      </c>
      <c r="N87" t="s">
        <v>64</v>
      </c>
      <c r="O87" t="s">
        <v>31</v>
      </c>
      <c r="P87" t="s">
        <v>182</v>
      </c>
      <c r="Q87" t="s">
        <v>248</v>
      </c>
      <c r="R87" t="s">
        <v>409</v>
      </c>
      <c r="S87" t="s">
        <v>542</v>
      </c>
    </row>
    <row r="88" ht="55" customHeight="1" spans="1:19">
      <c r="A88" s="1" t="str">
        <f>_xlfn.DISPIMG("ID_5E9AFDDC6BAA42068E135C46714C78C4",1)</f>
        <v>=DISPIMG("ID_5E9AFDDC6BAA42068E135C46714C78C4",1)</v>
      </c>
      <c r="B88" t="s">
        <v>125</v>
      </c>
      <c r="C88" t="s">
        <v>258</v>
      </c>
      <c r="D88" t="s">
        <v>118</v>
      </c>
      <c r="E88" t="s">
        <v>119</v>
      </c>
      <c r="F88" t="s">
        <v>91</v>
      </c>
      <c r="G88" t="s">
        <v>312</v>
      </c>
      <c r="H88" t="s">
        <v>119</v>
      </c>
      <c r="I88" t="s">
        <v>42</v>
      </c>
      <c r="J88" t="s">
        <v>26</v>
      </c>
      <c r="K88" t="s">
        <v>27</v>
      </c>
      <c r="L88" t="s">
        <v>28</v>
      </c>
      <c r="M88" t="s">
        <v>93</v>
      </c>
      <c r="N88" t="s">
        <v>30</v>
      </c>
      <c r="O88" t="s">
        <v>31</v>
      </c>
      <c r="P88" t="s">
        <v>543</v>
      </c>
      <c r="Q88" t="s">
        <v>76</v>
      </c>
      <c r="R88" t="s">
        <v>130</v>
      </c>
      <c r="S88" t="s">
        <v>544</v>
      </c>
    </row>
    <row r="89" ht="55" customHeight="1" spans="1:19">
      <c r="A89" s="1" t="str">
        <f>_xlfn.DISPIMG("ID_B5C885670E494323A313FEEE65C6968D",1)</f>
        <v>=DISPIMG("ID_B5C885670E494323A313FEEE65C6968D",1)</v>
      </c>
      <c r="B89" t="s">
        <v>465</v>
      </c>
      <c r="C89" t="s">
        <v>545</v>
      </c>
      <c r="D89" t="s">
        <v>143</v>
      </c>
      <c r="E89" t="s">
        <v>144</v>
      </c>
      <c r="F89" t="s">
        <v>40</v>
      </c>
      <c r="G89" t="s">
        <v>334</v>
      </c>
      <c r="H89" t="s">
        <v>144</v>
      </c>
      <c r="I89" t="s">
        <v>42</v>
      </c>
      <c r="J89" t="s">
        <v>26</v>
      </c>
      <c r="K89" t="s">
        <v>27</v>
      </c>
      <c r="L89" t="s">
        <v>28</v>
      </c>
      <c r="M89" t="s">
        <v>29</v>
      </c>
      <c r="N89" t="s">
        <v>30</v>
      </c>
      <c r="O89" t="s">
        <v>31</v>
      </c>
      <c r="P89" t="s">
        <v>154</v>
      </c>
      <c r="Q89" t="s">
        <v>155</v>
      </c>
      <c r="R89" t="s">
        <v>546</v>
      </c>
      <c r="S89" t="s">
        <v>547</v>
      </c>
    </row>
    <row r="90" ht="55" customHeight="1" spans="1:19">
      <c r="A90" s="1" t="str">
        <f>_xlfn.DISPIMG("ID_D4A342391CAB4640844686891FEE38F6",1)</f>
        <v>=DISPIMG("ID_D4A342391CAB4640844686891FEE38F6",1)</v>
      </c>
      <c r="B90" t="s">
        <v>242</v>
      </c>
      <c r="C90" t="s">
        <v>548</v>
      </c>
      <c r="D90" t="s">
        <v>483</v>
      </c>
      <c r="E90" t="s">
        <v>484</v>
      </c>
      <c r="F90" t="s">
        <v>245</v>
      </c>
      <c r="G90" t="s">
        <v>246</v>
      </c>
      <c r="H90" t="s">
        <v>392</v>
      </c>
      <c r="I90" t="s">
        <v>165</v>
      </c>
      <c r="J90" t="s">
        <v>26</v>
      </c>
      <c r="K90" t="s">
        <v>27</v>
      </c>
      <c r="L90" t="s">
        <v>231</v>
      </c>
      <c r="M90" t="s">
        <v>93</v>
      </c>
      <c r="N90" t="s">
        <v>30</v>
      </c>
      <c r="O90" t="s">
        <v>31</v>
      </c>
      <c r="P90" t="s">
        <v>75</v>
      </c>
      <c r="Q90" t="s">
        <v>183</v>
      </c>
      <c r="R90" t="s">
        <v>549</v>
      </c>
      <c r="S90" t="s">
        <v>550</v>
      </c>
    </row>
    <row r="91" ht="55" customHeight="1" spans="1:19">
      <c r="A91" s="1" t="str">
        <f>_xlfn.DISPIMG("ID_B43D9C1D14ED4786B30B4BA30C181F8A",1)</f>
        <v>=DISPIMG("ID_B43D9C1D14ED4786B30B4BA30C181F8A",1)</v>
      </c>
      <c r="B91" t="s">
        <v>282</v>
      </c>
      <c r="C91" t="s">
        <v>551</v>
      </c>
      <c r="D91" t="s">
        <v>552</v>
      </c>
      <c r="E91" t="s">
        <v>507</v>
      </c>
      <c r="F91" t="s">
        <v>40</v>
      </c>
      <c r="G91" t="s">
        <v>216</v>
      </c>
      <c r="H91" t="s">
        <v>135</v>
      </c>
      <c r="I91" t="s">
        <v>42</v>
      </c>
      <c r="J91" t="s">
        <v>26</v>
      </c>
      <c r="K91" t="s">
        <v>27</v>
      </c>
      <c r="L91" t="s">
        <v>28</v>
      </c>
      <c r="M91" t="s">
        <v>29</v>
      </c>
      <c r="N91" t="s">
        <v>64</v>
      </c>
      <c r="O91" t="s">
        <v>31</v>
      </c>
      <c r="P91" t="s">
        <v>182</v>
      </c>
      <c r="Q91" t="s">
        <v>553</v>
      </c>
      <c r="R91" t="s">
        <v>45</v>
      </c>
      <c r="S91" t="s">
        <v>554</v>
      </c>
    </row>
    <row r="92" ht="55" customHeight="1" spans="1:19">
      <c r="A92" s="1" t="str">
        <f>_xlfn.DISPIMG("ID_3869D81FC1B1425790166025EE07D8F8",1)</f>
        <v>=DISPIMG("ID_3869D81FC1B1425790166025EE07D8F8",1)</v>
      </c>
      <c r="B92" t="s">
        <v>242</v>
      </c>
      <c r="C92" t="s">
        <v>555</v>
      </c>
      <c r="D92" t="s">
        <v>556</v>
      </c>
      <c r="E92" t="s">
        <v>72</v>
      </c>
      <c r="F92" t="s">
        <v>245</v>
      </c>
      <c r="G92" t="s">
        <v>296</v>
      </c>
      <c r="H92" t="s">
        <v>72</v>
      </c>
      <c r="I92" t="s">
        <v>165</v>
      </c>
      <c r="J92" t="s">
        <v>26</v>
      </c>
      <c r="K92" t="s">
        <v>27</v>
      </c>
      <c r="L92" t="s">
        <v>557</v>
      </c>
      <c r="M92" t="s">
        <v>93</v>
      </c>
      <c r="N92" t="s">
        <v>30</v>
      </c>
      <c r="O92" t="s">
        <v>31</v>
      </c>
      <c r="P92" t="s">
        <v>65</v>
      </c>
      <c r="Q92" t="s">
        <v>297</v>
      </c>
      <c r="R92" t="s">
        <v>249</v>
      </c>
      <c r="S92" t="s">
        <v>558</v>
      </c>
    </row>
    <row r="93" ht="55" customHeight="1" spans="1:19">
      <c r="A93" s="1" t="str">
        <f>_xlfn.DISPIMG("ID_9E06C9AE176B4AF694D34704F142883F",1)</f>
        <v>=DISPIMG("ID_9E06C9AE176B4AF694D34704F142883F",1)</v>
      </c>
      <c r="B93" t="s">
        <v>158</v>
      </c>
      <c r="C93" t="s">
        <v>489</v>
      </c>
      <c r="D93" t="s">
        <v>160</v>
      </c>
      <c r="E93" t="s">
        <v>161</v>
      </c>
      <c r="F93" t="s">
        <v>162</v>
      </c>
      <c r="G93" t="s">
        <v>41</v>
      </c>
      <c r="H93" t="s">
        <v>164</v>
      </c>
      <c r="I93" t="s">
        <v>165</v>
      </c>
      <c r="J93" t="s">
        <v>26</v>
      </c>
      <c r="K93" t="s">
        <v>27</v>
      </c>
      <c r="L93" t="s">
        <v>28</v>
      </c>
      <c r="M93" t="s">
        <v>166</v>
      </c>
      <c r="N93" t="s">
        <v>30</v>
      </c>
      <c r="O93" t="s">
        <v>31</v>
      </c>
      <c r="P93" t="s">
        <v>154</v>
      </c>
      <c r="Q93" t="s">
        <v>76</v>
      </c>
      <c r="R93" t="s">
        <v>168</v>
      </c>
      <c r="S93" t="s">
        <v>559</v>
      </c>
    </row>
    <row r="94" ht="55" customHeight="1" spans="1:19">
      <c r="A94" s="1" t="str">
        <f>_xlfn.DISPIMG("ID_CCFC0C9E43F4459BB61DC33FA07564C7",1)</f>
        <v>=DISPIMG("ID_CCFC0C9E43F4459BB61DC33FA07564C7",1)</v>
      </c>
      <c r="B94" t="s">
        <v>366</v>
      </c>
      <c r="C94" t="s">
        <v>560</v>
      </c>
      <c r="D94" t="s">
        <v>368</v>
      </c>
      <c r="E94" t="s">
        <v>135</v>
      </c>
      <c r="F94" t="s">
        <v>245</v>
      </c>
      <c r="G94" t="s">
        <v>561</v>
      </c>
      <c r="H94" t="s">
        <v>135</v>
      </c>
      <c r="I94" t="s">
        <v>165</v>
      </c>
      <c r="J94" t="s">
        <v>26</v>
      </c>
      <c r="K94" t="s">
        <v>27</v>
      </c>
      <c r="L94" t="s">
        <v>231</v>
      </c>
      <c r="M94" t="s">
        <v>93</v>
      </c>
      <c r="N94" t="s">
        <v>30</v>
      </c>
      <c r="O94" t="s">
        <v>31</v>
      </c>
      <c r="P94" t="s">
        <v>198</v>
      </c>
      <c r="Q94" t="s">
        <v>190</v>
      </c>
      <c r="R94" t="s">
        <v>370</v>
      </c>
      <c r="S94" t="s">
        <v>562</v>
      </c>
    </row>
    <row r="95" ht="55" customHeight="1" spans="1:19">
      <c r="A95" s="1" t="str">
        <f>_xlfn.DISPIMG("ID_E51DA15587B94D32B4405DF6C754315C",1)</f>
        <v>=DISPIMG("ID_E51DA15587B94D32B4405DF6C754315C",1)</v>
      </c>
      <c r="B95" t="s">
        <v>563</v>
      </c>
      <c r="C95" t="s">
        <v>564</v>
      </c>
      <c r="D95" t="s">
        <v>536</v>
      </c>
      <c r="E95" t="s">
        <v>27</v>
      </c>
      <c r="F95" t="s">
        <v>40</v>
      </c>
      <c r="G95" t="s">
        <v>538</v>
      </c>
      <c r="H95" t="s">
        <v>27</v>
      </c>
      <c r="I95" t="s">
        <v>42</v>
      </c>
      <c r="J95" t="s">
        <v>26</v>
      </c>
      <c r="K95" t="s">
        <v>27</v>
      </c>
      <c r="L95" t="s">
        <v>28</v>
      </c>
      <c r="M95" t="s">
        <v>29</v>
      </c>
      <c r="N95" t="s">
        <v>30</v>
      </c>
      <c r="O95" t="s">
        <v>31</v>
      </c>
      <c r="P95" t="s">
        <v>112</v>
      </c>
      <c r="Q95" t="s">
        <v>359</v>
      </c>
      <c r="R95" t="s">
        <v>565</v>
      </c>
      <c r="S95" t="s">
        <v>566</v>
      </c>
    </row>
    <row r="96" ht="55" customHeight="1" spans="1:19">
      <c r="A96" s="1" t="str">
        <f>_xlfn.DISPIMG("ID_CF5ACE4C5BD0488FB93D8ED8AA0A2B84",1)</f>
        <v>=DISPIMG("ID_CF5ACE4C5BD0488FB93D8ED8AA0A2B84",1)</v>
      </c>
      <c r="B96" t="s">
        <v>366</v>
      </c>
      <c r="C96" t="s">
        <v>567</v>
      </c>
      <c r="D96" t="s">
        <v>368</v>
      </c>
      <c r="E96" t="s">
        <v>135</v>
      </c>
      <c r="F96" t="s">
        <v>245</v>
      </c>
      <c r="G96" t="s">
        <v>246</v>
      </c>
      <c r="H96" t="s">
        <v>135</v>
      </c>
      <c r="I96" t="s">
        <v>165</v>
      </c>
      <c r="J96" t="s">
        <v>26</v>
      </c>
      <c r="K96" t="s">
        <v>27</v>
      </c>
      <c r="L96" t="s">
        <v>231</v>
      </c>
      <c r="M96" t="s">
        <v>93</v>
      </c>
      <c r="N96" t="s">
        <v>30</v>
      </c>
      <c r="O96" t="s">
        <v>31</v>
      </c>
      <c r="P96" t="s">
        <v>112</v>
      </c>
      <c r="Q96" t="s">
        <v>297</v>
      </c>
      <c r="R96" t="s">
        <v>370</v>
      </c>
      <c r="S96" t="s">
        <v>568</v>
      </c>
    </row>
    <row r="97" ht="55" customHeight="1" spans="1:19">
      <c r="A97" s="1" t="str">
        <f>_xlfn.DISPIMG("ID_588EE83DE7E64D0287EAA5BB1CA42E26",1)</f>
        <v>=DISPIMG("ID_588EE83DE7E64D0287EAA5BB1CA42E26",1)</v>
      </c>
      <c r="B97" t="s">
        <v>569</v>
      </c>
      <c r="C97" t="s">
        <v>278</v>
      </c>
      <c r="D97" t="s">
        <v>188</v>
      </c>
      <c r="E97" t="s">
        <v>144</v>
      </c>
      <c r="F97" t="s">
        <v>212</v>
      </c>
      <c r="G97" t="s">
        <v>312</v>
      </c>
      <c r="H97" t="s">
        <v>144</v>
      </c>
      <c r="I97" t="s">
        <v>189</v>
      </c>
      <c r="J97" t="s">
        <v>26</v>
      </c>
      <c r="K97" t="s">
        <v>27</v>
      </c>
      <c r="L97" t="s">
        <v>329</v>
      </c>
      <c r="M97" t="s">
        <v>93</v>
      </c>
      <c r="N97" t="s">
        <v>64</v>
      </c>
      <c r="O97" t="s">
        <v>31</v>
      </c>
      <c r="P97" t="s">
        <v>65</v>
      </c>
      <c r="Q97" t="s">
        <v>427</v>
      </c>
      <c r="R97" t="s">
        <v>191</v>
      </c>
      <c r="S97" t="s">
        <v>570</v>
      </c>
    </row>
    <row r="98" ht="55" customHeight="1" spans="1:19">
      <c r="A98" s="1" t="str">
        <f>_xlfn.DISPIMG("ID_C9FC291546504A1D9EA029B4E47027D3",1)</f>
        <v>=DISPIMG("ID_C9FC291546504A1D9EA029B4E47027D3",1)</v>
      </c>
      <c r="B98" t="s">
        <v>571</v>
      </c>
      <c r="C98" t="s">
        <v>89</v>
      </c>
      <c r="D98" t="s">
        <v>572</v>
      </c>
      <c r="E98" t="s">
        <v>573</v>
      </c>
      <c r="F98" t="s">
        <v>91</v>
      </c>
      <c r="G98" t="s">
        <v>127</v>
      </c>
      <c r="H98" t="s">
        <v>211</v>
      </c>
      <c r="I98" t="s">
        <v>175</v>
      </c>
      <c r="J98" t="s">
        <v>26</v>
      </c>
      <c r="K98" t="s">
        <v>27</v>
      </c>
      <c r="L98" t="s">
        <v>53</v>
      </c>
      <c r="M98" t="s">
        <v>93</v>
      </c>
      <c r="N98" t="s">
        <v>30</v>
      </c>
      <c r="O98" t="s">
        <v>31</v>
      </c>
      <c r="P98" t="s">
        <v>351</v>
      </c>
      <c r="Q98" t="s">
        <v>574</v>
      </c>
      <c r="R98" t="s">
        <v>191</v>
      </c>
      <c r="S98" t="s">
        <v>575</v>
      </c>
    </row>
    <row r="99" ht="55" customHeight="1" spans="1:19">
      <c r="A99" s="1" t="str">
        <f>_xlfn.DISPIMG("ID_D73E48A6121145CF8861C0E3605DF79C",1)</f>
        <v>=DISPIMG("ID_D73E48A6121145CF8861C0E3605DF79C",1)</v>
      </c>
      <c r="B99" t="s">
        <v>242</v>
      </c>
      <c r="C99" t="s">
        <v>576</v>
      </c>
      <c r="D99" t="s">
        <v>577</v>
      </c>
      <c r="E99" t="s">
        <v>311</v>
      </c>
      <c r="F99" t="s">
        <v>245</v>
      </c>
      <c r="G99" t="s">
        <v>41</v>
      </c>
      <c r="H99" t="s">
        <v>39</v>
      </c>
      <c r="I99" t="s">
        <v>165</v>
      </c>
      <c r="J99" t="s">
        <v>26</v>
      </c>
      <c r="K99" t="s">
        <v>27</v>
      </c>
      <c r="L99" t="s">
        <v>28</v>
      </c>
      <c r="M99" t="s">
        <v>93</v>
      </c>
      <c r="N99" t="s">
        <v>64</v>
      </c>
      <c r="O99" t="s">
        <v>31</v>
      </c>
      <c r="P99" t="s">
        <v>154</v>
      </c>
      <c r="Q99" t="s">
        <v>129</v>
      </c>
      <c r="R99" t="s">
        <v>249</v>
      </c>
      <c r="S99" t="s">
        <v>578</v>
      </c>
    </row>
    <row r="100" ht="55" customHeight="1" spans="1:19">
      <c r="A100" s="1" t="str">
        <f>_xlfn.DISPIMG("ID_33AB1D7D15CF4D679B68C70134A0E6A5",1)</f>
        <v>=DISPIMG("ID_33AB1D7D15CF4D679B68C70134A0E6A5",1)</v>
      </c>
      <c r="B100" t="s">
        <v>579</v>
      </c>
      <c r="C100" t="s">
        <v>580</v>
      </c>
      <c r="D100" t="s">
        <v>581</v>
      </c>
      <c r="E100" t="s">
        <v>109</v>
      </c>
      <c r="F100" t="s">
        <v>91</v>
      </c>
      <c r="G100" t="s">
        <v>582</v>
      </c>
      <c r="H100" t="s">
        <v>111</v>
      </c>
      <c r="I100" t="s">
        <v>175</v>
      </c>
      <c r="J100" t="s">
        <v>26</v>
      </c>
      <c r="K100" t="s">
        <v>27</v>
      </c>
      <c r="L100" t="s">
        <v>74</v>
      </c>
      <c r="M100" t="s">
        <v>93</v>
      </c>
      <c r="N100" t="s">
        <v>30</v>
      </c>
      <c r="O100" t="s">
        <v>31</v>
      </c>
      <c r="P100" t="s">
        <v>112</v>
      </c>
      <c r="Q100" t="s">
        <v>113</v>
      </c>
      <c r="R100" t="s">
        <v>583</v>
      </c>
      <c r="S100" t="s">
        <v>584</v>
      </c>
    </row>
    <row r="101" ht="55" customHeight="1" spans="1:19">
      <c r="A101" s="1" t="str">
        <f>_xlfn.DISPIMG("ID_B21C0C44B8B64A018F495CB81F0C4571",1)</f>
        <v>=DISPIMG("ID_B21C0C44B8B64A018F495CB81F0C4571",1)</v>
      </c>
      <c r="B101" t="s">
        <v>141</v>
      </c>
      <c r="C101" t="s">
        <v>585</v>
      </c>
      <c r="D101" t="s">
        <v>466</v>
      </c>
      <c r="E101" t="s">
        <v>50</v>
      </c>
      <c r="F101" t="s">
        <v>40</v>
      </c>
      <c r="G101" t="s">
        <v>306</v>
      </c>
      <c r="H101" t="s">
        <v>50</v>
      </c>
      <c r="I101" t="s">
        <v>42</v>
      </c>
      <c r="J101" t="s">
        <v>26</v>
      </c>
      <c r="K101" t="s">
        <v>27</v>
      </c>
      <c r="L101" t="s">
        <v>28</v>
      </c>
      <c r="M101" t="s">
        <v>29</v>
      </c>
      <c r="N101" t="s">
        <v>30</v>
      </c>
      <c r="O101" t="s">
        <v>31</v>
      </c>
      <c r="P101" t="s">
        <v>463</v>
      </c>
      <c r="Q101" t="s">
        <v>103</v>
      </c>
      <c r="R101" t="s">
        <v>86</v>
      </c>
      <c r="S101" t="s">
        <v>586</v>
      </c>
    </row>
    <row r="102" ht="55" customHeight="1" spans="1:19">
      <c r="A102" s="1" t="str">
        <f>_xlfn.DISPIMG("ID_AB7F5A04DEB744DCBDA34DBB99C289FB",1)</f>
        <v>=DISPIMG("ID_AB7F5A04DEB744DCBDA34DBB99C289FB",1)</v>
      </c>
      <c r="B102" t="s">
        <v>277</v>
      </c>
      <c r="C102" t="s">
        <v>333</v>
      </c>
      <c r="D102" t="s">
        <v>304</v>
      </c>
      <c r="E102" t="s">
        <v>305</v>
      </c>
      <c r="F102" t="s">
        <v>91</v>
      </c>
      <c r="G102" t="s">
        <v>312</v>
      </c>
      <c r="H102" t="s">
        <v>50</v>
      </c>
      <c r="I102" t="s">
        <v>42</v>
      </c>
      <c r="J102" t="s">
        <v>26</v>
      </c>
      <c r="K102" t="s">
        <v>27</v>
      </c>
      <c r="L102" t="s">
        <v>28</v>
      </c>
      <c r="M102" t="s">
        <v>93</v>
      </c>
      <c r="N102" t="s">
        <v>30</v>
      </c>
      <c r="O102" t="s">
        <v>31</v>
      </c>
      <c r="P102" t="s">
        <v>587</v>
      </c>
      <c r="Q102" t="s">
        <v>76</v>
      </c>
      <c r="R102" t="s">
        <v>130</v>
      </c>
      <c r="S102" t="s">
        <v>588</v>
      </c>
    </row>
    <row r="103" ht="55" customHeight="1" spans="1:19">
      <c r="A103" s="1" t="str">
        <f>_xlfn.DISPIMG("ID_EFBFF3F16B2D425B9243247E976E6F2E",1)</f>
        <v>=DISPIMG("ID_EFBFF3F16B2D425B9243247E976E6F2E",1)</v>
      </c>
      <c r="B103" t="s">
        <v>242</v>
      </c>
      <c r="C103" t="s">
        <v>589</v>
      </c>
      <c r="D103" t="s">
        <v>368</v>
      </c>
      <c r="E103" t="s">
        <v>135</v>
      </c>
      <c r="F103" t="s">
        <v>245</v>
      </c>
      <c r="G103" t="s">
        <v>246</v>
      </c>
      <c r="H103" t="s">
        <v>135</v>
      </c>
      <c r="I103" t="s">
        <v>165</v>
      </c>
      <c r="J103" t="s">
        <v>26</v>
      </c>
      <c r="K103" t="s">
        <v>27</v>
      </c>
      <c r="L103" t="s">
        <v>557</v>
      </c>
      <c r="M103" t="s">
        <v>93</v>
      </c>
      <c r="N103" t="s">
        <v>64</v>
      </c>
      <c r="O103" t="s">
        <v>31</v>
      </c>
      <c r="P103" t="s">
        <v>221</v>
      </c>
      <c r="Q103" t="s">
        <v>255</v>
      </c>
      <c r="R103" t="s">
        <v>249</v>
      </c>
      <c r="S103" t="s">
        <v>590</v>
      </c>
    </row>
    <row r="104" ht="55" customHeight="1" spans="1:19">
      <c r="A104" s="1" t="str">
        <f>_xlfn.DISPIMG("ID_146C527CA1E749FBBACC60D7B2501783",1)</f>
        <v>=DISPIMG("ID_146C527CA1E749FBBACC60D7B2501783",1)</v>
      </c>
      <c r="B104" t="s">
        <v>257</v>
      </c>
      <c r="C104" t="s">
        <v>591</v>
      </c>
      <c r="D104" t="s">
        <v>442</v>
      </c>
      <c r="E104" t="s">
        <v>82</v>
      </c>
      <c r="F104" t="s">
        <v>51</v>
      </c>
      <c r="G104" t="s">
        <v>541</v>
      </c>
      <c r="H104" t="s">
        <v>84</v>
      </c>
      <c r="I104" t="s">
        <v>25</v>
      </c>
      <c r="J104" t="s">
        <v>26</v>
      </c>
      <c r="K104" t="s">
        <v>27</v>
      </c>
      <c r="L104" t="s">
        <v>74</v>
      </c>
      <c r="M104" t="s">
        <v>29</v>
      </c>
      <c r="N104" t="s">
        <v>64</v>
      </c>
      <c r="O104" t="s">
        <v>31</v>
      </c>
      <c r="P104" t="s">
        <v>221</v>
      </c>
      <c r="Q104" t="s">
        <v>103</v>
      </c>
      <c r="R104" t="s">
        <v>263</v>
      </c>
      <c r="S104" t="s">
        <v>592</v>
      </c>
    </row>
    <row r="105" ht="55" customHeight="1" spans="1:19">
      <c r="A105" s="1" t="str">
        <f>_xlfn.DISPIMG("ID_68D20672E9F64EC0AE4C2141BA0911B9",1)</f>
        <v>=DISPIMG("ID_68D20672E9F64EC0AE4C2141BA0911B9",1)</v>
      </c>
      <c r="B105" t="s">
        <v>593</v>
      </c>
      <c r="C105" t="s">
        <v>594</v>
      </c>
      <c r="D105" t="s">
        <v>595</v>
      </c>
      <c r="E105" t="s">
        <v>84</v>
      </c>
      <c r="F105" t="s">
        <v>512</v>
      </c>
      <c r="G105" t="s">
        <v>174</v>
      </c>
      <c r="H105" t="s">
        <v>84</v>
      </c>
      <c r="I105" t="s">
        <v>175</v>
      </c>
      <c r="J105" t="s">
        <v>26</v>
      </c>
      <c r="K105" t="s">
        <v>27</v>
      </c>
      <c r="L105" t="s">
        <v>557</v>
      </c>
      <c r="M105" t="s">
        <v>513</v>
      </c>
      <c r="N105" t="s">
        <v>64</v>
      </c>
      <c r="O105" t="s">
        <v>31</v>
      </c>
      <c r="P105" t="s">
        <v>596</v>
      </c>
      <c r="Q105" t="s">
        <v>275</v>
      </c>
      <c r="R105" t="s">
        <v>147</v>
      </c>
      <c r="S105" t="s">
        <v>597</v>
      </c>
    </row>
    <row r="106" ht="55" customHeight="1" spans="1:19">
      <c r="A106" s="1" t="str">
        <f>_xlfn.DISPIMG("ID_3AC976B5A4824FA5A3A5C427A6BD8C0A",1)</f>
        <v>=DISPIMG("ID_3AC976B5A4824FA5A3A5C427A6BD8C0A",1)</v>
      </c>
      <c r="B106" t="s">
        <v>214</v>
      </c>
      <c r="C106" t="s">
        <v>598</v>
      </c>
      <c r="D106" t="s">
        <v>310</v>
      </c>
      <c r="E106" t="s">
        <v>311</v>
      </c>
      <c r="F106" t="s">
        <v>91</v>
      </c>
      <c r="G106" t="s">
        <v>41</v>
      </c>
      <c r="H106" t="s">
        <v>39</v>
      </c>
      <c r="I106" t="s">
        <v>137</v>
      </c>
      <c r="J106" t="s">
        <v>26</v>
      </c>
      <c r="K106" t="s">
        <v>27</v>
      </c>
      <c r="L106" t="s">
        <v>28</v>
      </c>
      <c r="M106" t="s">
        <v>93</v>
      </c>
      <c r="N106" t="s">
        <v>30</v>
      </c>
      <c r="O106" t="s">
        <v>31</v>
      </c>
      <c r="P106" t="s">
        <v>491</v>
      </c>
      <c r="Q106" t="s">
        <v>76</v>
      </c>
      <c r="R106" t="s">
        <v>191</v>
      </c>
      <c r="S106" t="s">
        <v>599</v>
      </c>
    </row>
    <row r="107" ht="55" customHeight="1" spans="1:19">
      <c r="A107" s="1" t="str">
        <f>_xlfn.DISPIMG("ID_1E966351456144C59C1A213B71FCB7C8",1)</f>
        <v>=DISPIMG("ID_1E966351456144C59C1A213B71FCB7C8",1)</v>
      </c>
      <c r="B107" t="s">
        <v>214</v>
      </c>
      <c r="C107" t="s">
        <v>215</v>
      </c>
      <c r="D107" t="s">
        <v>552</v>
      </c>
      <c r="E107" t="s">
        <v>507</v>
      </c>
      <c r="F107" t="s">
        <v>91</v>
      </c>
      <c r="G107" t="s">
        <v>600</v>
      </c>
      <c r="H107" t="s">
        <v>135</v>
      </c>
      <c r="I107" t="s">
        <v>137</v>
      </c>
      <c r="J107" t="s">
        <v>26</v>
      </c>
      <c r="K107" t="s">
        <v>27</v>
      </c>
      <c r="L107" t="s">
        <v>28</v>
      </c>
      <c r="M107" t="s">
        <v>93</v>
      </c>
      <c r="N107" t="s">
        <v>30</v>
      </c>
      <c r="O107" t="s">
        <v>31</v>
      </c>
      <c r="P107" t="s">
        <v>154</v>
      </c>
      <c r="Q107" t="s">
        <v>167</v>
      </c>
      <c r="R107" t="s">
        <v>191</v>
      </c>
      <c r="S107" t="s">
        <v>601</v>
      </c>
    </row>
    <row r="108" ht="55" customHeight="1" spans="1:19">
      <c r="A108" s="1" t="str">
        <f>_xlfn.DISPIMG("ID_F27A2F389F4E46D49D92A8CAC07727F7",1)</f>
        <v>=DISPIMG("ID_F27A2F389F4E46D49D92A8CAC07727F7",1)</v>
      </c>
      <c r="B108" t="s">
        <v>465</v>
      </c>
      <c r="C108" t="s">
        <v>391</v>
      </c>
      <c r="D108" t="s">
        <v>368</v>
      </c>
      <c r="E108" t="s">
        <v>135</v>
      </c>
      <c r="F108" t="s">
        <v>40</v>
      </c>
      <c r="G108" t="s">
        <v>306</v>
      </c>
      <c r="H108" t="s">
        <v>445</v>
      </c>
      <c r="I108" t="s">
        <v>42</v>
      </c>
      <c r="J108" t="s">
        <v>26</v>
      </c>
      <c r="K108" t="s">
        <v>27</v>
      </c>
      <c r="L108" t="s">
        <v>28</v>
      </c>
      <c r="M108" t="s">
        <v>29</v>
      </c>
      <c r="N108" t="s">
        <v>64</v>
      </c>
      <c r="O108" t="s">
        <v>31</v>
      </c>
      <c r="P108" t="s">
        <v>602</v>
      </c>
      <c r="Q108" t="s">
        <v>415</v>
      </c>
      <c r="R108" t="s">
        <v>147</v>
      </c>
      <c r="S108" t="s">
        <v>603</v>
      </c>
    </row>
    <row r="109" ht="55" customHeight="1" spans="1:19">
      <c r="A109" s="1" t="str">
        <f>_xlfn.DISPIMG("ID_8094D49D74F84D2A998D4F984A774695",1)</f>
        <v>=DISPIMG("ID_8094D49D74F84D2A998D4F984A774695",1)</v>
      </c>
      <c r="B109" t="s">
        <v>158</v>
      </c>
      <c r="C109" t="s">
        <v>510</v>
      </c>
      <c r="D109" t="s">
        <v>524</v>
      </c>
      <c r="E109" t="s">
        <v>63</v>
      </c>
      <c r="F109" t="s">
        <v>162</v>
      </c>
      <c r="G109" t="s">
        <v>41</v>
      </c>
      <c r="H109" t="s">
        <v>63</v>
      </c>
      <c r="I109" t="s">
        <v>165</v>
      </c>
      <c r="J109" t="s">
        <v>26</v>
      </c>
      <c r="K109" t="s">
        <v>27</v>
      </c>
      <c r="L109" t="s">
        <v>28</v>
      </c>
      <c r="M109" t="s">
        <v>166</v>
      </c>
      <c r="N109" t="s">
        <v>30</v>
      </c>
      <c r="O109" t="s">
        <v>31</v>
      </c>
      <c r="P109" t="s">
        <v>154</v>
      </c>
      <c r="Q109" t="s">
        <v>292</v>
      </c>
      <c r="R109" t="s">
        <v>168</v>
      </c>
      <c r="S109" t="s">
        <v>604</v>
      </c>
    </row>
    <row r="110" ht="55" customHeight="1" spans="1:19">
      <c r="A110" s="1" t="str">
        <f>_xlfn.DISPIMG("ID_80C209AC76FD40A2B9AF8DBDA38AE2BC",1)</f>
        <v>=DISPIMG("ID_80C209AC76FD40A2B9AF8DBDA38AE2BC",1)</v>
      </c>
      <c r="B110" t="s">
        <v>242</v>
      </c>
      <c r="C110" t="s">
        <v>605</v>
      </c>
      <c r="D110" t="s">
        <v>375</v>
      </c>
      <c r="E110" t="s">
        <v>100</v>
      </c>
      <c r="F110" t="s">
        <v>245</v>
      </c>
      <c r="G110" t="s">
        <v>606</v>
      </c>
      <c r="H110" t="s">
        <v>100</v>
      </c>
      <c r="I110" t="s">
        <v>165</v>
      </c>
      <c r="J110" t="s">
        <v>26</v>
      </c>
      <c r="K110" t="s">
        <v>27</v>
      </c>
      <c r="L110" t="s">
        <v>231</v>
      </c>
      <c r="M110" t="s">
        <v>93</v>
      </c>
      <c r="N110" t="s">
        <v>30</v>
      </c>
      <c r="O110" t="s">
        <v>31</v>
      </c>
      <c r="P110" t="s">
        <v>301</v>
      </c>
      <c r="Q110" t="s">
        <v>297</v>
      </c>
      <c r="R110" t="s">
        <v>249</v>
      </c>
      <c r="S110" t="s">
        <v>607</v>
      </c>
    </row>
    <row r="111" ht="55" customHeight="1" spans="1:19">
      <c r="A111" s="1" t="str">
        <f>_xlfn.DISPIMG("ID_08A69984C03748BEA3BE5D74EC7781AF",1)</f>
        <v>=DISPIMG("ID_08A69984C03748BEA3BE5D74EC7781AF",1)</v>
      </c>
      <c r="B111" t="s">
        <v>36</v>
      </c>
      <c r="C111" t="s">
        <v>608</v>
      </c>
      <c r="D111" t="s">
        <v>375</v>
      </c>
      <c r="E111" t="s">
        <v>486</v>
      </c>
      <c r="F111" t="s">
        <v>40</v>
      </c>
      <c r="G111" t="s">
        <v>436</v>
      </c>
      <c r="H111" t="s">
        <v>486</v>
      </c>
      <c r="I111" t="s">
        <v>42</v>
      </c>
      <c r="J111" t="s">
        <v>26</v>
      </c>
      <c r="K111" t="s">
        <v>27</v>
      </c>
      <c r="L111" t="s">
        <v>28</v>
      </c>
      <c r="M111" t="s">
        <v>29</v>
      </c>
      <c r="N111" t="s">
        <v>30</v>
      </c>
      <c r="O111" t="s">
        <v>31</v>
      </c>
      <c r="P111" t="s">
        <v>268</v>
      </c>
      <c r="Q111" t="s">
        <v>248</v>
      </c>
      <c r="R111" t="s">
        <v>45</v>
      </c>
      <c r="S111" t="s">
        <v>609</v>
      </c>
    </row>
    <row r="112" ht="55" customHeight="1" spans="1:19">
      <c r="A112" s="1" t="str">
        <f>_xlfn.DISPIMG("ID_2D953EC6B2164E0EB62354AA7381FFC5",1)</f>
        <v>=DISPIMG("ID_2D953EC6B2164E0EB62354AA7381FFC5",1)</v>
      </c>
      <c r="B112" t="s">
        <v>610</v>
      </c>
      <c r="C112" t="s">
        <v>611</v>
      </c>
      <c r="D112" t="s">
        <v>81</v>
      </c>
      <c r="E112" t="s">
        <v>82</v>
      </c>
      <c r="F112" t="s">
        <v>40</v>
      </c>
      <c r="G112" t="s">
        <v>246</v>
      </c>
      <c r="H112" t="s">
        <v>84</v>
      </c>
      <c r="I112" t="s">
        <v>25</v>
      </c>
      <c r="J112" t="s">
        <v>26</v>
      </c>
      <c r="K112" t="s">
        <v>27</v>
      </c>
      <c r="L112" t="s">
        <v>74</v>
      </c>
      <c r="M112" t="s">
        <v>29</v>
      </c>
      <c r="N112" t="s">
        <v>30</v>
      </c>
      <c r="O112" t="s">
        <v>31</v>
      </c>
      <c r="P112" t="s">
        <v>146</v>
      </c>
      <c r="Q112" t="s">
        <v>612</v>
      </c>
      <c r="R112" t="s">
        <v>389</v>
      </c>
      <c r="S112" t="s">
        <v>613</v>
      </c>
    </row>
    <row r="113" ht="55" customHeight="1" spans="1:19">
      <c r="A113" s="1" t="str">
        <f>_xlfn.DISPIMG("ID_DE1990F7836540E889E6922B4F701BF3",1)</f>
        <v>=DISPIMG("ID_DE1990F7836540E889E6922B4F701BF3",1)</v>
      </c>
      <c r="B113" t="s">
        <v>614</v>
      </c>
      <c r="C113" t="s">
        <v>615</v>
      </c>
      <c r="D113" t="s">
        <v>616</v>
      </c>
      <c r="E113" t="s">
        <v>144</v>
      </c>
      <c r="F113" t="s">
        <v>512</v>
      </c>
      <c r="G113" t="s">
        <v>617</v>
      </c>
      <c r="H113" t="s">
        <v>144</v>
      </c>
      <c r="I113" t="s">
        <v>137</v>
      </c>
      <c r="J113" t="s">
        <v>26</v>
      </c>
      <c r="K113" t="s">
        <v>27</v>
      </c>
      <c r="L113" t="s">
        <v>28</v>
      </c>
      <c r="M113" t="s">
        <v>513</v>
      </c>
      <c r="N113" t="s">
        <v>30</v>
      </c>
      <c r="O113" t="s">
        <v>31</v>
      </c>
      <c r="P113" t="s">
        <v>75</v>
      </c>
      <c r="Q113" t="s">
        <v>297</v>
      </c>
      <c r="R113" t="s">
        <v>618</v>
      </c>
      <c r="S113" t="s">
        <v>619</v>
      </c>
    </row>
    <row r="114" ht="55" customHeight="1" spans="1:19">
      <c r="A114" s="1" t="str">
        <f>_xlfn.DISPIMG("ID_81FD04C7C8B447439310CF31FA9A08B6",1)</f>
        <v>=DISPIMG("ID_81FD04C7C8B447439310CF31FA9A08B6",1)</v>
      </c>
      <c r="B114" t="s">
        <v>338</v>
      </c>
      <c r="C114" t="s">
        <v>620</v>
      </c>
      <c r="D114" t="s">
        <v>279</v>
      </c>
      <c r="E114" t="s">
        <v>164</v>
      </c>
      <c r="F114" t="s">
        <v>91</v>
      </c>
      <c r="G114" t="s">
        <v>621</v>
      </c>
      <c r="H114" t="s">
        <v>164</v>
      </c>
      <c r="I114" t="s">
        <v>25</v>
      </c>
      <c r="J114" t="s">
        <v>26</v>
      </c>
      <c r="K114" t="s">
        <v>27</v>
      </c>
      <c r="L114" t="s">
        <v>28</v>
      </c>
      <c r="M114" t="s">
        <v>93</v>
      </c>
      <c r="N114" t="s">
        <v>30</v>
      </c>
      <c r="O114" t="s">
        <v>31</v>
      </c>
      <c r="P114" t="s">
        <v>622</v>
      </c>
      <c r="Q114" t="s">
        <v>122</v>
      </c>
      <c r="R114" t="s">
        <v>147</v>
      </c>
      <c r="S114" t="s">
        <v>623</v>
      </c>
    </row>
    <row r="115" ht="55" customHeight="1" spans="1:19">
      <c r="A115" s="1" t="str">
        <f>_xlfn.DISPIMG("ID_21129BC638474996B987AAC0BE1C7102",1)</f>
        <v>=DISPIMG("ID_21129BC638474996B987AAC0BE1C7102",1)</v>
      </c>
      <c r="B115" t="s">
        <v>242</v>
      </c>
      <c r="C115" t="s">
        <v>299</v>
      </c>
      <c r="D115" t="s">
        <v>143</v>
      </c>
      <c r="E115" t="s">
        <v>144</v>
      </c>
      <c r="F115" t="s">
        <v>245</v>
      </c>
      <c r="G115" t="s">
        <v>83</v>
      </c>
      <c r="H115" t="s">
        <v>144</v>
      </c>
      <c r="I115" t="s">
        <v>165</v>
      </c>
      <c r="J115" t="s">
        <v>26</v>
      </c>
      <c r="K115" t="s">
        <v>27</v>
      </c>
      <c r="L115" t="s">
        <v>624</v>
      </c>
      <c r="M115" t="s">
        <v>93</v>
      </c>
      <c r="N115" t="s">
        <v>30</v>
      </c>
      <c r="O115" t="s">
        <v>31</v>
      </c>
      <c r="P115" t="s">
        <v>351</v>
      </c>
      <c r="Q115" t="s">
        <v>359</v>
      </c>
      <c r="R115" t="s">
        <v>249</v>
      </c>
      <c r="S115" t="s">
        <v>625</v>
      </c>
    </row>
    <row r="116" ht="55" customHeight="1" spans="1:19">
      <c r="A116" s="1" t="str">
        <f>_xlfn.DISPIMG("ID_8749A29BFA174EF4B1E1D821DFBC1C59",1)</f>
        <v>=DISPIMG("ID_8749A29BFA174EF4B1E1D821DFBC1C59",1)</v>
      </c>
      <c r="B116" t="s">
        <v>626</v>
      </c>
      <c r="C116" t="s">
        <v>344</v>
      </c>
      <c r="D116" t="s">
        <v>506</v>
      </c>
      <c r="E116" t="s">
        <v>507</v>
      </c>
      <c r="F116" t="s">
        <v>162</v>
      </c>
      <c r="G116" t="s">
        <v>627</v>
      </c>
      <c r="H116" t="s">
        <v>135</v>
      </c>
      <c r="I116" t="s">
        <v>175</v>
      </c>
      <c r="J116" t="s">
        <v>26</v>
      </c>
      <c r="K116" t="s">
        <v>27</v>
      </c>
      <c r="L116" t="s">
        <v>28</v>
      </c>
      <c r="M116" t="s">
        <v>166</v>
      </c>
      <c r="N116" t="s">
        <v>64</v>
      </c>
      <c r="O116" t="s">
        <v>31</v>
      </c>
      <c r="P116" t="s">
        <v>75</v>
      </c>
      <c r="Q116" t="s">
        <v>514</v>
      </c>
      <c r="R116" t="s">
        <v>147</v>
      </c>
      <c r="S116" t="s">
        <v>628</v>
      </c>
    </row>
    <row r="117" ht="55" customHeight="1" spans="1:19">
      <c r="A117" s="1" t="str">
        <f>_xlfn.DISPIMG("ID_D1AAFDB80C08450F8214069994609637",1)</f>
        <v>=DISPIMG("ID_D1AAFDB80C08450F8214069994609637",1)</v>
      </c>
      <c r="B117" t="s">
        <v>629</v>
      </c>
      <c r="C117" t="s">
        <v>266</v>
      </c>
      <c r="D117" t="s">
        <v>524</v>
      </c>
      <c r="E117" t="s">
        <v>518</v>
      </c>
      <c r="F117" t="s">
        <v>91</v>
      </c>
      <c r="G117" t="s">
        <v>101</v>
      </c>
      <c r="H117" t="s">
        <v>195</v>
      </c>
      <c r="I117" t="s">
        <v>175</v>
      </c>
      <c r="J117" t="s">
        <v>26</v>
      </c>
      <c r="K117" t="s">
        <v>27</v>
      </c>
      <c r="L117" t="s">
        <v>231</v>
      </c>
      <c r="M117" t="s">
        <v>93</v>
      </c>
      <c r="N117" t="s">
        <v>30</v>
      </c>
      <c r="O117" t="s">
        <v>31</v>
      </c>
      <c r="P117" t="s">
        <v>75</v>
      </c>
      <c r="Q117" t="s">
        <v>113</v>
      </c>
      <c r="R117" t="s">
        <v>630</v>
      </c>
      <c r="S117" t="s">
        <v>631</v>
      </c>
    </row>
    <row r="118" ht="55" customHeight="1" spans="1:19">
      <c r="A118" s="1" t="str">
        <f>_xlfn.DISPIMG("ID_93269C190F10412CAA6BAF9C4D4CD861",1)</f>
        <v>=DISPIMG("ID_93269C190F10412CAA6BAF9C4D4CD861",1)</v>
      </c>
      <c r="B118" t="s">
        <v>320</v>
      </c>
      <c r="C118" t="s">
        <v>632</v>
      </c>
      <c r="D118" t="s">
        <v>442</v>
      </c>
      <c r="E118" t="s">
        <v>82</v>
      </c>
      <c r="F118" t="s">
        <v>173</v>
      </c>
      <c r="G118" t="s">
        <v>633</v>
      </c>
      <c r="H118" t="s">
        <v>84</v>
      </c>
      <c r="I118" t="s">
        <v>175</v>
      </c>
      <c r="J118" t="s">
        <v>26</v>
      </c>
      <c r="K118" t="s">
        <v>27</v>
      </c>
      <c r="L118" t="s">
        <v>28</v>
      </c>
      <c r="M118" t="s">
        <v>93</v>
      </c>
      <c r="N118" t="s">
        <v>30</v>
      </c>
      <c r="O118" t="s">
        <v>31</v>
      </c>
      <c r="P118" t="s">
        <v>221</v>
      </c>
      <c r="Q118" t="s">
        <v>292</v>
      </c>
      <c r="R118" t="s">
        <v>324</v>
      </c>
      <c r="S118" t="s">
        <v>634</v>
      </c>
    </row>
    <row r="119" ht="55" customHeight="1" spans="1:19">
      <c r="A119" s="1" t="str">
        <f>_xlfn.DISPIMG("ID_86EAA2A7A305415FB9F913ADB4E6ED95",1)</f>
        <v>=DISPIMG("ID_86EAA2A7A305415FB9F913ADB4E6ED95",1)</v>
      </c>
      <c r="B119" t="s">
        <v>58</v>
      </c>
      <c r="C119" t="s">
        <v>635</v>
      </c>
      <c r="D119" t="s">
        <v>400</v>
      </c>
      <c r="E119" t="s">
        <v>211</v>
      </c>
      <c r="F119" t="s">
        <v>51</v>
      </c>
      <c r="G119" t="s">
        <v>280</v>
      </c>
      <c r="H119" t="s">
        <v>211</v>
      </c>
      <c r="I119" t="s">
        <v>42</v>
      </c>
      <c r="J119" t="s">
        <v>26</v>
      </c>
      <c r="K119" t="s">
        <v>27</v>
      </c>
      <c r="L119" t="s">
        <v>53</v>
      </c>
      <c r="M119" t="s">
        <v>29</v>
      </c>
      <c r="N119" t="s">
        <v>30</v>
      </c>
      <c r="O119" t="s">
        <v>31</v>
      </c>
      <c r="P119" t="s">
        <v>463</v>
      </c>
      <c r="Q119" t="s">
        <v>636</v>
      </c>
      <c r="R119" t="s">
        <v>409</v>
      </c>
      <c r="S119" t="s">
        <v>637</v>
      </c>
    </row>
    <row r="120" ht="55" customHeight="1" spans="1:19">
      <c r="A120" s="1" t="str">
        <f>_xlfn.DISPIMG("ID_D81D6B3FF3A945CF842EA13192719006",1)</f>
        <v>=DISPIMG("ID_D81D6B3FF3A945CF842EA13192719006",1)</v>
      </c>
      <c r="B120" t="s">
        <v>242</v>
      </c>
      <c r="C120" t="s">
        <v>258</v>
      </c>
      <c r="D120" t="s">
        <v>581</v>
      </c>
      <c r="E120" t="s">
        <v>109</v>
      </c>
      <c r="F120" t="s">
        <v>245</v>
      </c>
      <c r="G120" t="s">
        <v>638</v>
      </c>
      <c r="H120" t="s">
        <v>111</v>
      </c>
      <c r="I120" t="s">
        <v>165</v>
      </c>
      <c r="J120" t="s">
        <v>26</v>
      </c>
      <c r="K120" t="s">
        <v>27</v>
      </c>
      <c r="L120" t="s">
        <v>231</v>
      </c>
      <c r="M120" t="s">
        <v>93</v>
      </c>
      <c r="N120" t="s">
        <v>30</v>
      </c>
      <c r="O120" t="s">
        <v>31</v>
      </c>
      <c r="P120" t="s">
        <v>639</v>
      </c>
      <c r="Q120" t="s">
        <v>190</v>
      </c>
      <c r="R120" t="s">
        <v>249</v>
      </c>
      <c r="S120" t="s">
        <v>640</v>
      </c>
    </row>
    <row r="121" ht="55" customHeight="1" spans="1:19">
      <c r="A121" s="1" t="str">
        <f>_xlfn.DISPIMG("ID_6C14CB1AEAD9490DA17020C348DB374D",1)</f>
        <v>=DISPIMG("ID_6C14CB1AEAD9490DA17020C348DB374D",1)</v>
      </c>
      <c r="B121" t="s">
        <v>106</v>
      </c>
      <c r="C121" t="s">
        <v>98</v>
      </c>
      <c r="D121" t="s">
        <v>524</v>
      </c>
      <c r="E121" t="s">
        <v>518</v>
      </c>
      <c r="F121" t="s">
        <v>40</v>
      </c>
      <c r="G121" t="s">
        <v>260</v>
      </c>
      <c r="H121" t="s">
        <v>641</v>
      </c>
      <c r="I121" t="s">
        <v>42</v>
      </c>
      <c r="J121" t="s">
        <v>26</v>
      </c>
      <c r="K121" t="s">
        <v>27</v>
      </c>
      <c r="L121" t="s">
        <v>74</v>
      </c>
      <c r="M121" t="s">
        <v>29</v>
      </c>
      <c r="N121" t="s">
        <v>30</v>
      </c>
      <c r="O121" t="s">
        <v>31</v>
      </c>
      <c r="P121" t="s">
        <v>54</v>
      </c>
      <c r="Q121" t="s">
        <v>359</v>
      </c>
      <c r="R121" t="s">
        <v>114</v>
      </c>
      <c r="S121" t="s">
        <v>642</v>
      </c>
    </row>
    <row r="122" ht="55" customHeight="1" spans="1:19">
      <c r="A122" s="1" t="str">
        <f>_xlfn.DISPIMG("ID_F750596C80CE4C73B617154FEDD8FC27",1)</f>
        <v>=DISPIMG("ID_F750596C80CE4C73B617154FEDD8FC27",1)</v>
      </c>
      <c r="B122" t="s">
        <v>265</v>
      </c>
      <c r="C122" t="s">
        <v>643</v>
      </c>
      <c r="D122" t="s">
        <v>644</v>
      </c>
      <c r="E122" t="s">
        <v>328</v>
      </c>
      <c r="F122" t="s">
        <v>51</v>
      </c>
      <c r="G122" t="s">
        <v>52</v>
      </c>
      <c r="H122" t="s">
        <v>119</v>
      </c>
      <c r="I122" t="s">
        <v>25</v>
      </c>
      <c r="J122" t="s">
        <v>26</v>
      </c>
      <c r="K122" t="s">
        <v>27</v>
      </c>
      <c r="L122" t="s">
        <v>74</v>
      </c>
      <c r="M122" t="s">
        <v>29</v>
      </c>
      <c r="N122" t="s">
        <v>30</v>
      </c>
      <c r="O122" t="s">
        <v>31</v>
      </c>
      <c r="P122" t="s">
        <v>75</v>
      </c>
      <c r="Q122" t="s">
        <v>297</v>
      </c>
      <c r="R122" t="s">
        <v>147</v>
      </c>
      <c r="S122" t="s">
        <v>645</v>
      </c>
    </row>
    <row r="123" ht="55" customHeight="1" spans="1:19">
      <c r="A123" s="1" t="str">
        <f>_xlfn.DISPIMG("ID_0BC3A642F1444B4EB7009A7C102641DC",1)</f>
        <v>=DISPIMG("ID_0BC3A642F1444B4EB7009A7C102641DC",1)</v>
      </c>
      <c r="B123" t="s">
        <v>170</v>
      </c>
      <c r="C123" t="s">
        <v>646</v>
      </c>
      <c r="D123" t="s">
        <v>448</v>
      </c>
      <c r="E123" t="s">
        <v>72</v>
      </c>
      <c r="F123" t="s">
        <v>173</v>
      </c>
      <c r="G123" t="s">
        <v>402</v>
      </c>
      <c r="H123" t="s">
        <v>72</v>
      </c>
      <c r="I123" t="s">
        <v>175</v>
      </c>
      <c r="J123" t="s">
        <v>26</v>
      </c>
      <c r="K123" t="s">
        <v>27</v>
      </c>
      <c r="L123" t="s">
        <v>28</v>
      </c>
      <c r="M123" t="s">
        <v>93</v>
      </c>
      <c r="N123" t="s">
        <v>30</v>
      </c>
      <c r="O123" t="s">
        <v>31</v>
      </c>
      <c r="P123" t="s">
        <v>351</v>
      </c>
      <c r="Q123" t="s">
        <v>76</v>
      </c>
      <c r="R123" t="s">
        <v>176</v>
      </c>
      <c r="S123" t="s">
        <v>647</v>
      </c>
    </row>
    <row r="124" ht="55" customHeight="1" spans="1:19">
      <c r="A124" s="1" t="str">
        <f>_xlfn.DISPIMG("ID_CD485527FE2142E59548447AC75BFC55",1)</f>
        <v>=DISPIMG("ID_CD485527FE2142E59548447AC75BFC55",1)</v>
      </c>
      <c r="B124" t="s">
        <v>242</v>
      </c>
      <c r="C124" t="s">
        <v>648</v>
      </c>
      <c r="D124" t="s">
        <v>435</v>
      </c>
      <c r="E124" t="s">
        <v>63</v>
      </c>
      <c r="F124" t="s">
        <v>245</v>
      </c>
      <c r="G124" t="s">
        <v>561</v>
      </c>
      <c r="H124" t="s">
        <v>238</v>
      </c>
      <c r="I124" t="s">
        <v>165</v>
      </c>
      <c r="J124" t="s">
        <v>26</v>
      </c>
      <c r="K124" t="s">
        <v>27</v>
      </c>
      <c r="L124" t="s">
        <v>28</v>
      </c>
      <c r="M124" t="s">
        <v>93</v>
      </c>
      <c r="N124" t="s">
        <v>30</v>
      </c>
      <c r="O124" t="s">
        <v>31</v>
      </c>
      <c r="P124" t="s">
        <v>649</v>
      </c>
      <c r="Q124" t="s">
        <v>190</v>
      </c>
      <c r="R124" t="s">
        <v>249</v>
      </c>
      <c r="S124" t="s">
        <v>650</v>
      </c>
    </row>
    <row r="125" ht="55" customHeight="1" spans="1:19">
      <c r="A125" s="1" t="str">
        <f>_xlfn.DISPIMG("ID_94BF595D80694E2AAE310F9461BCF7D9",1)</f>
        <v>=DISPIMG("ID_94BF595D80694E2AAE310F9461BCF7D9",1)</v>
      </c>
      <c r="B125" t="s">
        <v>236</v>
      </c>
      <c r="C125" t="s">
        <v>651</v>
      </c>
      <c r="D125" t="s">
        <v>315</v>
      </c>
      <c r="E125" t="s">
        <v>316</v>
      </c>
      <c r="F125" t="s">
        <v>51</v>
      </c>
      <c r="G125" t="s">
        <v>363</v>
      </c>
      <c r="H125" t="s">
        <v>144</v>
      </c>
      <c r="I125" t="s">
        <v>42</v>
      </c>
      <c r="J125" t="s">
        <v>26</v>
      </c>
      <c r="K125" t="s">
        <v>27</v>
      </c>
      <c r="L125" t="s">
        <v>53</v>
      </c>
      <c r="M125" t="s">
        <v>29</v>
      </c>
      <c r="N125" t="s">
        <v>30</v>
      </c>
      <c r="O125" t="s">
        <v>31</v>
      </c>
      <c r="P125" t="s">
        <v>54</v>
      </c>
      <c r="Q125" t="s">
        <v>652</v>
      </c>
      <c r="R125" t="s">
        <v>104</v>
      </c>
      <c r="S125" t="s">
        <v>653</v>
      </c>
    </row>
    <row r="126" ht="55" customHeight="1" spans="1:19">
      <c r="A126" s="1" t="str">
        <f>_xlfn.DISPIMG("ID_5594CB9463284100AFBD93ED3BC23144",1)</f>
        <v>=DISPIMG("ID_5594CB9463284100AFBD93ED3BC23144",1)</v>
      </c>
      <c r="B126" t="s">
        <v>320</v>
      </c>
      <c r="C126" t="s">
        <v>654</v>
      </c>
      <c r="D126" t="s">
        <v>425</v>
      </c>
      <c r="E126" t="s">
        <v>100</v>
      </c>
      <c r="F126" t="s">
        <v>173</v>
      </c>
      <c r="G126" t="s">
        <v>127</v>
      </c>
      <c r="H126" t="s">
        <v>100</v>
      </c>
      <c r="I126" t="s">
        <v>175</v>
      </c>
      <c r="J126" t="s">
        <v>26</v>
      </c>
      <c r="K126" t="s">
        <v>27</v>
      </c>
      <c r="L126" t="s">
        <v>28</v>
      </c>
      <c r="M126" t="s">
        <v>93</v>
      </c>
      <c r="N126" t="s">
        <v>30</v>
      </c>
      <c r="O126" t="s">
        <v>31</v>
      </c>
      <c r="P126" t="s">
        <v>655</v>
      </c>
      <c r="Q126" t="s">
        <v>656</v>
      </c>
      <c r="R126" t="s">
        <v>324</v>
      </c>
      <c r="S126" t="s">
        <v>657</v>
      </c>
    </row>
    <row r="127" ht="55" customHeight="1" spans="1:19">
      <c r="A127" s="1" t="str">
        <f>_xlfn.DISPIMG("ID_734F5BC2BB584F2D81F45E1892D0D5A1",1)</f>
        <v>=DISPIMG("ID_734F5BC2BB584F2D81F45E1892D0D5A1",1)</v>
      </c>
      <c r="B127" t="s">
        <v>106</v>
      </c>
      <c r="C127" t="s">
        <v>658</v>
      </c>
      <c r="D127" t="s">
        <v>253</v>
      </c>
      <c r="E127" t="s">
        <v>659</v>
      </c>
      <c r="F127" t="s">
        <v>40</v>
      </c>
      <c r="G127" t="s">
        <v>660</v>
      </c>
      <c r="H127" t="s">
        <v>659</v>
      </c>
      <c r="I127" t="s">
        <v>42</v>
      </c>
      <c r="J127" t="s">
        <v>26</v>
      </c>
      <c r="K127" t="s">
        <v>27</v>
      </c>
      <c r="L127" t="s">
        <v>323</v>
      </c>
      <c r="M127" t="s">
        <v>29</v>
      </c>
      <c r="N127" t="s">
        <v>661</v>
      </c>
      <c r="O127" t="s">
        <v>31</v>
      </c>
      <c r="P127" t="s">
        <v>112</v>
      </c>
      <c r="Q127" t="s">
        <v>514</v>
      </c>
      <c r="R127" t="s">
        <v>147</v>
      </c>
      <c r="S127" t="s">
        <v>662</v>
      </c>
    </row>
    <row r="128" ht="55" customHeight="1" spans="1:19">
      <c r="A128" s="1" t="str">
        <f>_xlfn.DISPIMG("ID_4CCD48ADF0D041AEB249E8AB654862CD",1)</f>
        <v>=DISPIMG("ID_4CCD48ADF0D041AEB249E8AB654862CD",1)</v>
      </c>
      <c r="B128" t="s">
        <v>320</v>
      </c>
      <c r="C128" t="s">
        <v>663</v>
      </c>
      <c r="D128" t="s">
        <v>664</v>
      </c>
      <c r="E128" t="s">
        <v>305</v>
      </c>
      <c r="F128" t="s">
        <v>173</v>
      </c>
      <c r="G128" t="s">
        <v>665</v>
      </c>
      <c r="H128" t="s">
        <v>50</v>
      </c>
      <c r="I128" t="s">
        <v>175</v>
      </c>
      <c r="J128" t="s">
        <v>26</v>
      </c>
      <c r="K128" t="s">
        <v>27</v>
      </c>
      <c r="L128" t="s">
        <v>28</v>
      </c>
      <c r="M128" t="s">
        <v>93</v>
      </c>
      <c r="N128" t="s">
        <v>64</v>
      </c>
      <c r="O128" t="s">
        <v>31</v>
      </c>
      <c r="P128" t="s">
        <v>75</v>
      </c>
      <c r="Q128" t="s">
        <v>44</v>
      </c>
      <c r="R128" t="s">
        <v>324</v>
      </c>
      <c r="S128" t="s">
        <v>666</v>
      </c>
    </row>
    <row r="129" ht="55" customHeight="1" spans="1:19">
      <c r="A129" s="1" t="str">
        <f>_xlfn.DISPIMG("ID_3066B399F08B499B9C2A0CD7263F1100",1)</f>
        <v>=DISPIMG("ID_3066B399F08B499B9C2A0CD7263F1100",1)</v>
      </c>
      <c r="B129" t="s">
        <v>667</v>
      </c>
      <c r="C129" t="s">
        <v>668</v>
      </c>
      <c r="D129" t="s">
        <v>669</v>
      </c>
      <c r="E129" t="s">
        <v>119</v>
      </c>
      <c r="F129" t="s">
        <v>228</v>
      </c>
      <c r="G129" t="s">
        <v>670</v>
      </c>
      <c r="H129" t="s">
        <v>119</v>
      </c>
      <c r="I129" t="s">
        <v>165</v>
      </c>
      <c r="J129" t="s">
        <v>26</v>
      </c>
      <c r="K129" t="s">
        <v>27</v>
      </c>
      <c r="L129" t="s">
        <v>28</v>
      </c>
      <c r="M129" t="s">
        <v>232</v>
      </c>
      <c r="N129" t="s">
        <v>30</v>
      </c>
      <c r="O129" t="s">
        <v>31</v>
      </c>
      <c r="P129" t="s">
        <v>138</v>
      </c>
      <c r="Q129" t="s">
        <v>33</v>
      </c>
      <c r="R129" t="s">
        <v>671</v>
      </c>
      <c r="S129" t="s">
        <v>672</v>
      </c>
    </row>
    <row r="130" ht="55" customHeight="1" spans="1:19">
      <c r="A130" s="1" t="str">
        <f>_xlfn.DISPIMG("ID_D4F40A0698364C53A398C582F69D3BA4",1)</f>
        <v>=DISPIMG("ID_D4F40A0698364C53A398C582F69D3BA4",1)</v>
      </c>
      <c r="B130" t="s">
        <v>282</v>
      </c>
      <c r="C130" t="s">
        <v>673</v>
      </c>
      <c r="D130" t="s">
        <v>483</v>
      </c>
      <c r="E130" t="s">
        <v>328</v>
      </c>
      <c r="F130" t="s">
        <v>40</v>
      </c>
      <c r="G130" t="s">
        <v>216</v>
      </c>
      <c r="H130" t="s">
        <v>119</v>
      </c>
      <c r="I130" t="s">
        <v>42</v>
      </c>
      <c r="J130" t="s">
        <v>26</v>
      </c>
      <c r="K130" t="s">
        <v>27</v>
      </c>
      <c r="L130" t="s">
        <v>74</v>
      </c>
      <c r="M130" t="s">
        <v>29</v>
      </c>
      <c r="N130" t="s">
        <v>30</v>
      </c>
      <c r="O130" t="s">
        <v>31</v>
      </c>
      <c r="P130" t="s">
        <v>146</v>
      </c>
      <c r="Q130" t="s">
        <v>539</v>
      </c>
      <c r="R130" t="s">
        <v>45</v>
      </c>
      <c r="S130" t="s">
        <v>674</v>
      </c>
    </row>
    <row r="131" ht="55" customHeight="1" spans="1:19">
      <c r="A131" s="1" t="str">
        <f>_xlfn.DISPIMG("ID_70E56FAAACC546779DC2B56999C932CC",1)</f>
        <v>=DISPIMG("ID_70E56FAAACC546779DC2B56999C932CC",1)</v>
      </c>
      <c r="B131" t="s">
        <v>675</v>
      </c>
      <c r="C131" t="s">
        <v>321</v>
      </c>
      <c r="D131" t="s">
        <v>524</v>
      </c>
      <c r="E131" t="s">
        <v>63</v>
      </c>
      <c r="F131" t="s">
        <v>173</v>
      </c>
      <c r="G131" t="s">
        <v>676</v>
      </c>
      <c r="H131" t="s">
        <v>63</v>
      </c>
      <c r="I131" t="s">
        <v>137</v>
      </c>
      <c r="J131" t="s">
        <v>26</v>
      </c>
      <c r="K131" t="s">
        <v>27</v>
      </c>
      <c r="L131" t="s">
        <v>28</v>
      </c>
      <c r="M131" t="s">
        <v>93</v>
      </c>
      <c r="N131" t="s">
        <v>30</v>
      </c>
      <c r="O131" t="s">
        <v>31</v>
      </c>
      <c r="P131" t="s">
        <v>146</v>
      </c>
      <c r="Q131" t="s">
        <v>677</v>
      </c>
      <c r="R131" t="s">
        <v>678</v>
      </c>
      <c r="S131" t="s">
        <v>679</v>
      </c>
    </row>
    <row r="132" ht="55" customHeight="1" spans="1:19">
      <c r="A132" s="1" t="str">
        <f>_xlfn.DISPIMG("ID_AEDD21688490470AB3E5AB9C56D9D1B4",1)</f>
        <v>=DISPIMG("ID_AEDD21688490470AB3E5AB9C56D9D1B4",1)</v>
      </c>
      <c r="B132" t="s">
        <v>571</v>
      </c>
      <c r="C132" t="s">
        <v>680</v>
      </c>
      <c r="D132" t="s">
        <v>681</v>
      </c>
      <c r="E132" t="s">
        <v>82</v>
      </c>
      <c r="F132" t="s">
        <v>91</v>
      </c>
      <c r="G132" t="s">
        <v>345</v>
      </c>
      <c r="H132" t="s">
        <v>84</v>
      </c>
      <c r="I132" t="s">
        <v>175</v>
      </c>
      <c r="J132" t="s">
        <v>26</v>
      </c>
      <c r="K132" t="s">
        <v>27</v>
      </c>
      <c r="L132" t="s">
        <v>53</v>
      </c>
      <c r="M132" t="s">
        <v>93</v>
      </c>
      <c r="N132" t="s">
        <v>661</v>
      </c>
      <c r="O132" t="s">
        <v>31</v>
      </c>
      <c r="P132" t="s">
        <v>198</v>
      </c>
      <c r="Q132" t="s">
        <v>297</v>
      </c>
      <c r="R132" t="s">
        <v>147</v>
      </c>
      <c r="S132" t="s">
        <v>682</v>
      </c>
    </row>
    <row r="133" ht="55" customHeight="1" spans="1:19">
      <c r="A133" s="1" t="str">
        <f>_xlfn.DISPIMG("ID_29292508E6AD4464BAD91EE289BB6E2A",1)</f>
        <v>=DISPIMG("ID_29292508E6AD4464BAD91EE289BB6E2A",1)</v>
      </c>
      <c r="B133" t="s">
        <v>193</v>
      </c>
      <c r="C133" t="s">
        <v>683</v>
      </c>
      <c r="D133" t="s">
        <v>60</v>
      </c>
      <c r="E133" t="s">
        <v>238</v>
      </c>
      <c r="F133" t="s">
        <v>173</v>
      </c>
      <c r="G133" t="s">
        <v>312</v>
      </c>
      <c r="H133" t="s">
        <v>238</v>
      </c>
      <c r="I133" t="s">
        <v>175</v>
      </c>
      <c r="J133" t="s">
        <v>26</v>
      </c>
      <c r="K133" t="s">
        <v>27</v>
      </c>
      <c r="L133" t="s">
        <v>28</v>
      </c>
      <c r="M133" t="s">
        <v>93</v>
      </c>
      <c r="N133" t="s">
        <v>30</v>
      </c>
      <c r="O133" t="s">
        <v>31</v>
      </c>
      <c r="P133" t="s">
        <v>639</v>
      </c>
      <c r="Q133" t="s">
        <v>514</v>
      </c>
      <c r="R133" t="s">
        <v>618</v>
      </c>
      <c r="S133" t="s">
        <v>684</v>
      </c>
    </row>
    <row r="134" ht="55" customHeight="1" spans="1:19">
      <c r="A134" s="1" t="str">
        <f>_xlfn.DISPIMG("ID_6059F62F679742FE870A01C7322D7A90",1)</f>
        <v>=DISPIMG("ID_6059F62F679742FE870A01C7322D7A90",1)</v>
      </c>
      <c r="B134" t="s">
        <v>236</v>
      </c>
      <c r="C134" t="s">
        <v>482</v>
      </c>
      <c r="D134" t="s">
        <v>267</v>
      </c>
      <c r="E134" t="s">
        <v>109</v>
      </c>
      <c r="F134" t="s">
        <v>51</v>
      </c>
      <c r="G134" t="s">
        <v>174</v>
      </c>
      <c r="H134" t="s">
        <v>111</v>
      </c>
      <c r="I134" t="s">
        <v>42</v>
      </c>
      <c r="J134" t="s">
        <v>26</v>
      </c>
      <c r="K134" t="s">
        <v>27</v>
      </c>
      <c r="L134" t="s">
        <v>53</v>
      </c>
      <c r="M134" t="s">
        <v>29</v>
      </c>
      <c r="N134" t="s">
        <v>30</v>
      </c>
      <c r="O134" t="s">
        <v>31</v>
      </c>
      <c r="P134" t="s">
        <v>491</v>
      </c>
      <c r="Q134" t="s">
        <v>248</v>
      </c>
      <c r="R134" t="s">
        <v>104</v>
      </c>
      <c r="S134" t="s">
        <v>685</v>
      </c>
    </row>
    <row r="135" ht="55" customHeight="1" spans="1:19">
      <c r="A135" s="1" t="str">
        <f>_xlfn.DISPIMG("ID_48249F17F0BD4462AE19AB1EEE1B1A90",1)</f>
        <v>=DISPIMG("ID_48249F17F0BD4462AE19AB1EEE1B1A90",1)</v>
      </c>
      <c r="B135" t="s">
        <v>686</v>
      </c>
      <c r="C135" t="s">
        <v>489</v>
      </c>
      <c r="D135" t="s">
        <v>687</v>
      </c>
      <c r="E135" t="s">
        <v>135</v>
      </c>
      <c r="F135" t="s">
        <v>512</v>
      </c>
      <c r="G135" t="s">
        <v>688</v>
      </c>
      <c r="H135" t="s">
        <v>135</v>
      </c>
      <c r="I135" t="s">
        <v>175</v>
      </c>
      <c r="J135" t="s">
        <v>26</v>
      </c>
      <c r="K135" t="s">
        <v>27</v>
      </c>
      <c r="L135" t="s">
        <v>28</v>
      </c>
      <c r="M135" t="s">
        <v>513</v>
      </c>
      <c r="N135" t="s">
        <v>30</v>
      </c>
      <c r="O135" t="s">
        <v>31</v>
      </c>
      <c r="P135" t="s">
        <v>261</v>
      </c>
      <c r="Q135" t="s">
        <v>76</v>
      </c>
      <c r="R135" t="s">
        <v>147</v>
      </c>
      <c r="S135" t="s">
        <v>689</v>
      </c>
    </row>
    <row r="136" ht="55" customHeight="1" spans="1:19">
      <c r="A136" s="1" t="str">
        <f>_xlfn.DISPIMG("ID_CDC95CC126D547DAB3DF8BA32BBE0ADB",1)</f>
        <v>=DISPIMG("ID_CDC95CC126D547DAB3DF8BA32BBE0ADB",1)</v>
      </c>
      <c r="B136" t="s">
        <v>47</v>
      </c>
      <c r="C136" t="s">
        <v>378</v>
      </c>
      <c r="D136" t="s">
        <v>511</v>
      </c>
      <c r="E136" t="s">
        <v>197</v>
      </c>
      <c r="F136" t="s">
        <v>51</v>
      </c>
      <c r="G136" t="s">
        <v>690</v>
      </c>
      <c r="H136" t="s">
        <v>197</v>
      </c>
      <c r="I136" t="s">
        <v>25</v>
      </c>
      <c r="J136" t="s">
        <v>26</v>
      </c>
      <c r="K136" t="s">
        <v>27</v>
      </c>
      <c r="L136" t="s">
        <v>74</v>
      </c>
      <c r="M136" t="s">
        <v>29</v>
      </c>
      <c r="N136" t="s">
        <v>64</v>
      </c>
      <c r="O136" t="s">
        <v>31</v>
      </c>
      <c r="P136" t="s">
        <v>691</v>
      </c>
      <c r="Q136" t="s">
        <v>122</v>
      </c>
      <c r="R136" t="s">
        <v>263</v>
      </c>
      <c r="S136" t="s">
        <v>692</v>
      </c>
    </row>
    <row r="137" ht="55" customHeight="1" spans="1:19">
      <c r="A137" s="1" t="str">
        <f>_xlfn.DISPIMG("ID_B32A974D51EF44DEA6FEDA6E253B7B93",1)</f>
        <v>=DISPIMG("ID_B32A974D51EF44DEA6FEDA6E253B7B93",1)</v>
      </c>
      <c r="B137" t="s">
        <v>693</v>
      </c>
      <c r="C137" t="s">
        <v>694</v>
      </c>
      <c r="D137" t="s">
        <v>695</v>
      </c>
      <c r="E137" t="s">
        <v>311</v>
      </c>
      <c r="F137" t="s">
        <v>51</v>
      </c>
      <c r="G137" t="s">
        <v>181</v>
      </c>
      <c r="H137" t="s">
        <v>39</v>
      </c>
      <c r="I137" t="s">
        <v>25</v>
      </c>
      <c r="J137" t="s">
        <v>26</v>
      </c>
      <c r="K137" t="s">
        <v>27</v>
      </c>
      <c r="L137" t="s">
        <v>28</v>
      </c>
      <c r="M137" t="s">
        <v>29</v>
      </c>
      <c r="N137" t="s">
        <v>30</v>
      </c>
      <c r="O137" t="s">
        <v>31</v>
      </c>
      <c r="P137" t="s">
        <v>65</v>
      </c>
      <c r="Q137" t="s">
        <v>113</v>
      </c>
      <c r="R137" t="s">
        <v>147</v>
      </c>
      <c r="S137" t="s">
        <v>696</v>
      </c>
    </row>
    <row r="138" ht="55" customHeight="1" spans="1:19">
      <c r="A138" s="1" t="str">
        <f>_xlfn.DISPIMG("ID_7B5822A83F6045F98965B2FFF7B6BE46",1)</f>
        <v>=DISPIMG("ID_7B5822A83F6045F98965B2FFF7B6BE46",1)</v>
      </c>
      <c r="B138" t="s">
        <v>158</v>
      </c>
      <c r="C138" t="s">
        <v>314</v>
      </c>
      <c r="D138" t="s">
        <v>60</v>
      </c>
      <c r="E138" t="s">
        <v>238</v>
      </c>
      <c r="F138" t="s">
        <v>162</v>
      </c>
      <c r="G138" t="s">
        <v>312</v>
      </c>
      <c r="H138" t="s">
        <v>238</v>
      </c>
      <c r="I138" t="s">
        <v>165</v>
      </c>
      <c r="J138" t="s">
        <v>26</v>
      </c>
      <c r="K138" t="s">
        <v>27</v>
      </c>
      <c r="L138" t="s">
        <v>28</v>
      </c>
      <c r="M138" t="s">
        <v>166</v>
      </c>
      <c r="N138" t="s">
        <v>30</v>
      </c>
      <c r="O138" t="s">
        <v>31</v>
      </c>
      <c r="P138" t="s">
        <v>596</v>
      </c>
      <c r="Q138" t="s">
        <v>269</v>
      </c>
      <c r="R138" t="s">
        <v>168</v>
      </c>
      <c r="S138" t="s">
        <v>697</v>
      </c>
    </row>
    <row r="139" ht="55" customHeight="1" spans="1:19">
      <c r="A139" s="1" t="str">
        <f>_xlfn.DISPIMG("ID_957B5758C91C4FFE9AD87878E573DD5F",1)</f>
        <v>=DISPIMG("ID_957B5758C91C4FFE9AD87878E573DD5F",1)</v>
      </c>
      <c r="B139" t="s">
        <v>193</v>
      </c>
      <c r="C139" t="s">
        <v>510</v>
      </c>
      <c r="D139" t="s">
        <v>425</v>
      </c>
      <c r="E139" t="s">
        <v>100</v>
      </c>
      <c r="F139" t="s">
        <v>173</v>
      </c>
      <c r="G139" t="s">
        <v>284</v>
      </c>
      <c r="H139" t="s">
        <v>100</v>
      </c>
      <c r="I139" t="s">
        <v>175</v>
      </c>
      <c r="J139" t="s">
        <v>26</v>
      </c>
      <c r="K139" t="s">
        <v>27</v>
      </c>
      <c r="L139" t="s">
        <v>28</v>
      </c>
      <c r="M139" t="s">
        <v>93</v>
      </c>
      <c r="N139" t="s">
        <v>30</v>
      </c>
      <c r="O139" t="s">
        <v>31</v>
      </c>
      <c r="P139" t="s">
        <v>698</v>
      </c>
      <c r="Q139" t="s">
        <v>699</v>
      </c>
      <c r="R139" t="s">
        <v>528</v>
      </c>
      <c r="S139" t="s">
        <v>700</v>
      </c>
    </row>
    <row r="140" ht="55" customHeight="1" spans="1:19">
      <c r="A140" s="1" t="str">
        <f>_xlfn.DISPIMG("ID_50D08D0F295743D287009A817D9EDF03",1)</f>
        <v>=DISPIMG("ID_50D08D0F295743D287009A817D9EDF03",1)</v>
      </c>
      <c r="B140" t="s">
        <v>377</v>
      </c>
      <c r="C140" t="s">
        <v>701</v>
      </c>
      <c r="D140" t="s">
        <v>524</v>
      </c>
      <c r="E140" t="s">
        <v>63</v>
      </c>
      <c r="F140" t="s">
        <v>91</v>
      </c>
      <c r="G140" t="s">
        <v>702</v>
      </c>
      <c r="H140" t="s">
        <v>63</v>
      </c>
      <c r="I140" t="s">
        <v>42</v>
      </c>
      <c r="J140" t="s">
        <v>26</v>
      </c>
      <c r="K140" t="s">
        <v>27</v>
      </c>
      <c r="L140" t="s">
        <v>28</v>
      </c>
      <c r="M140" t="s">
        <v>93</v>
      </c>
      <c r="N140" t="s">
        <v>30</v>
      </c>
      <c r="O140" t="s">
        <v>31</v>
      </c>
      <c r="P140" t="s">
        <v>351</v>
      </c>
      <c r="Q140" t="s">
        <v>255</v>
      </c>
      <c r="R140" t="s">
        <v>130</v>
      </c>
      <c r="S140" t="s">
        <v>703</v>
      </c>
    </row>
    <row r="141" ht="55" customHeight="1" spans="1:19">
      <c r="A141" s="1" t="str">
        <f>_xlfn.DISPIMG("ID_C073DF894F114FDAB3EAFB809AF2F318",1)</f>
        <v>=DISPIMG("ID_C073DF894F114FDAB3EAFB809AF2F318",1)</v>
      </c>
      <c r="B141" t="s">
        <v>366</v>
      </c>
      <c r="C141" t="s">
        <v>704</v>
      </c>
      <c r="D141" t="s">
        <v>556</v>
      </c>
      <c r="E141" t="s">
        <v>72</v>
      </c>
      <c r="F141" t="s">
        <v>245</v>
      </c>
      <c r="G141" t="s">
        <v>705</v>
      </c>
      <c r="H141" t="s">
        <v>197</v>
      </c>
      <c r="I141" t="s">
        <v>165</v>
      </c>
      <c r="J141" t="s">
        <v>26</v>
      </c>
      <c r="K141" t="s">
        <v>27</v>
      </c>
      <c r="L141" t="s">
        <v>231</v>
      </c>
      <c r="M141" t="s">
        <v>93</v>
      </c>
      <c r="N141" t="s">
        <v>64</v>
      </c>
      <c r="O141" t="s">
        <v>31</v>
      </c>
      <c r="P141" t="s">
        <v>463</v>
      </c>
      <c r="Q141" t="s">
        <v>66</v>
      </c>
      <c r="R141" t="s">
        <v>370</v>
      </c>
      <c r="S141" t="s">
        <v>706</v>
      </c>
    </row>
    <row r="142" ht="55" customHeight="1" spans="1:19">
      <c r="A142" s="1" t="str">
        <f>_xlfn.DISPIMG("ID_1CFC604B65D3406EB61D857801C6BD9D",1)</f>
        <v>=DISPIMG("ID_1CFC604B65D3406EB61D857801C6BD9D",1)</v>
      </c>
      <c r="B142" t="s">
        <v>707</v>
      </c>
      <c r="C142" t="s">
        <v>70</v>
      </c>
      <c r="D142" t="s">
        <v>708</v>
      </c>
      <c r="E142" t="s">
        <v>709</v>
      </c>
      <c r="F142" t="s">
        <v>245</v>
      </c>
      <c r="G142" t="s">
        <v>710</v>
      </c>
      <c r="H142" t="s">
        <v>111</v>
      </c>
      <c r="I142" t="s">
        <v>165</v>
      </c>
      <c r="J142" t="s">
        <v>26</v>
      </c>
      <c r="K142" t="s">
        <v>27</v>
      </c>
      <c r="L142" t="s">
        <v>53</v>
      </c>
      <c r="M142" t="s">
        <v>93</v>
      </c>
      <c r="N142" t="s">
        <v>30</v>
      </c>
      <c r="O142" t="s">
        <v>31</v>
      </c>
      <c r="P142" t="s">
        <v>112</v>
      </c>
      <c r="Q142" t="s">
        <v>76</v>
      </c>
      <c r="R142" t="s">
        <v>249</v>
      </c>
      <c r="S142" t="s">
        <v>711</v>
      </c>
    </row>
    <row r="143" ht="55" customHeight="1" spans="1:19">
      <c r="A143" s="1" t="str">
        <f>_xlfn.DISPIMG("ID_DD4E67CF5CF44F4682EC39DE727268D0",1)</f>
        <v>=DISPIMG("ID_DD4E67CF5CF44F4682EC39DE727268D0",1)</v>
      </c>
      <c r="B143" t="s">
        <v>106</v>
      </c>
      <c r="C143" t="s">
        <v>712</v>
      </c>
      <c r="D143" t="s">
        <v>253</v>
      </c>
      <c r="E143" t="s">
        <v>161</v>
      </c>
      <c r="F143" t="s">
        <v>40</v>
      </c>
      <c r="G143" t="s">
        <v>41</v>
      </c>
      <c r="H143" t="s">
        <v>164</v>
      </c>
      <c r="I143" t="s">
        <v>42</v>
      </c>
      <c r="J143" t="s">
        <v>26</v>
      </c>
      <c r="K143" t="s">
        <v>27</v>
      </c>
      <c r="L143" t="s">
        <v>53</v>
      </c>
      <c r="M143" t="s">
        <v>29</v>
      </c>
      <c r="N143" t="s">
        <v>30</v>
      </c>
      <c r="O143" t="s">
        <v>31</v>
      </c>
      <c r="P143" t="s">
        <v>713</v>
      </c>
      <c r="Q143" t="s">
        <v>525</v>
      </c>
      <c r="R143" t="s">
        <v>114</v>
      </c>
      <c r="S143" t="s">
        <v>714</v>
      </c>
    </row>
    <row r="144" ht="55" customHeight="1" spans="1:19">
      <c r="A144" s="1" t="str">
        <f>_xlfn.DISPIMG("ID_77A592DDEE4548A0B8DD873F54FC5D07",1)</f>
        <v>=DISPIMG("ID_77A592DDEE4548A0B8DD873F54FC5D07",1)</v>
      </c>
      <c r="B144" t="s">
        <v>439</v>
      </c>
      <c r="C144" t="s">
        <v>715</v>
      </c>
      <c r="D144" t="s">
        <v>118</v>
      </c>
      <c r="E144" t="s">
        <v>392</v>
      </c>
      <c r="F144" t="s">
        <v>91</v>
      </c>
      <c r="G144" t="s">
        <v>41</v>
      </c>
      <c r="H144" t="s">
        <v>392</v>
      </c>
      <c r="I144" t="s">
        <v>137</v>
      </c>
      <c r="J144" t="s">
        <v>26</v>
      </c>
      <c r="K144" t="s">
        <v>27</v>
      </c>
      <c r="L144" t="s">
        <v>231</v>
      </c>
      <c r="M144" t="s">
        <v>93</v>
      </c>
      <c r="N144" t="s">
        <v>30</v>
      </c>
      <c r="O144" t="s">
        <v>31</v>
      </c>
      <c r="P144" t="s">
        <v>112</v>
      </c>
      <c r="Q144" t="s">
        <v>76</v>
      </c>
      <c r="R144" t="s">
        <v>191</v>
      </c>
      <c r="S144" t="s">
        <v>716</v>
      </c>
    </row>
    <row r="145" ht="55" customHeight="1" spans="1:19">
      <c r="A145" s="1" t="str">
        <f>_xlfn.DISPIMG("ID_06D27E4E592B42D38FA6F0542030FC1C",1)</f>
        <v>=DISPIMG("ID_06D27E4E592B42D38FA6F0542030FC1C",1)</v>
      </c>
      <c r="B145" t="s">
        <v>458</v>
      </c>
      <c r="C145" t="s">
        <v>510</v>
      </c>
      <c r="D145" t="s">
        <v>425</v>
      </c>
      <c r="E145" t="s">
        <v>100</v>
      </c>
      <c r="F145" t="s">
        <v>173</v>
      </c>
      <c r="G145" t="s">
        <v>174</v>
      </c>
      <c r="H145" t="s">
        <v>100</v>
      </c>
      <c r="I145" t="s">
        <v>175</v>
      </c>
      <c r="J145" t="s">
        <v>26</v>
      </c>
      <c r="K145" t="s">
        <v>27</v>
      </c>
      <c r="L145" t="s">
        <v>323</v>
      </c>
      <c r="M145" t="s">
        <v>93</v>
      </c>
      <c r="N145" t="s">
        <v>30</v>
      </c>
      <c r="O145" t="s">
        <v>31</v>
      </c>
      <c r="P145" t="s">
        <v>65</v>
      </c>
      <c r="Q145" t="s">
        <v>76</v>
      </c>
      <c r="R145" t="s">
        <v>618</v>
      </c>
      <c r="S145" t="s">
        <v>717</v>
      </c>
    </row>
    <row r="146" ht="55" customHeight="1" spans="1:19">
      <c r="A146" s="1" t="str">
        <f>_xlfn.DISPIMG("ID_97434615D7D34C4689693E90F1B2CF96",1)</f>
        <v>=DISPIMG("ID_97434615D7D34C4689693E90F1B2CF96",1)</v>
      </c>
      <c r="B146" t="s">
        <v>97</v>
      </c>
      <c r="C146" t="s">
        <v>718</v>
      </c>
      <c r="D146" t="s">
        <v>99</v>
      </c>
      <c r="E146" t="s">
        <v>100</v>
      </c>
      <c r="F146" t="s">
        <v>51</v>
      </c>
      <c r="G146" t="s">
        <v>254</v>
      </c>
      <c r="H146" t="s">
        <v>100</v>
      </c>
      <c r="I146" t="s">
        <v>42</v>
      </c>
      <c r="J146" t="s">
        <v>26</v>
      </c>
      <c r="K146" t="s">
        <v>27</v>
      </c>
      <c r="L146" t="s">
        <v>28</v>
      </c>
      <c r="M146" t="s">
        <v>29</v>
      </c>
      <c r="N146" t="s">
        <v>30</v>
      </c>
      <c r="O146" t="s">
        <v>31</v>
      </c>
      <c r="P146" t="s">
        <v>32</v>
      </c>
      <c r="Q146" t="s">
        <v>76</v>
      </c>
      <c r="R146" t="s">
        <v>104</v>
      </c>
      <c r="S146" t="s">
        <v>719</v>
      </c>
    </row>
    <row r="147" ht="55" customHeight="1" spans="1:19">
      <c r="A147" s="1" t="str">
        <f>_xlfn.DISPIMG("ID_4DFC0A83835D4C86A47EDB94DAAE32D8",1)</f>
        <v>=DISPIMG("ID_4DFC0A83835D4C86A47EDB94DAAE32D8",1)</v>
      </c>
      <c r="B147" t="s">
        <v>149</v>
      </c>
      <c r="C147" t="s">
        <v>720</v>
      </c>
      <c r="D147" t="s">
        <v>151</v>
      </c>
      <c r="E147" t="s">
        <v>518</v>
      </c>
      <c r="F147" t="s">
        <v>51</v>
      </c>
      <c r="G147" t="s">
        <v>721</v>
      </c>
      <c r="H147" t="s">
        <v>195</v>
      </c>
      <c r="I147" t="s">
        <v>25</v>
      </c>
      <c r="J147" t="s">
        <v>26</v>
      </c>
      <c r="K147" t="s">
        <v>27</v>
      </c>
      <c r="L147" t="s">
        <v>28</v>
      </c>
      <c r="M147" t="s">
        <v>29</v>
      </c>
      <c r="N147" t="s">
        <v>64</v>
      </c>
      <c r="O147" t="s">
        <v>153</v>
      </c>
      <c r="P147" t="s">
        <v>722</v>
      </c>
      <c r="Q147" t="s">
        <v>352</v>
      </c>
      <c r="R147" t="s">
        <v>156</v>
      </c>
      <c r="S147" t="s">
        <v>723</v>
      </c>
    </row>
    <row r="148" ht="55" customHeight="1" spans="1:19">
      <c r="A148" s="1" t="str">
        <f>_xlfn.DISPIMG("ID_E2AC64F1AB394EDCB66D44141971CD01",1)</f>
        <v>=DISPIMG("ID_E2AC64F1AB394EDCB66D44141971CD01",1)</v>
      </c>
      <c r="B148" t="s">
        <v>186</v>
      </c>
      <c r="C148" t="s">
        <v>510</v>
      </c>
      <c r="D148" t="s">
        <v>506</v>
      </c>
      <c r="E148" t="s">
        <v>507</v>
      </c>
      <c r="F148" t="s">
        <v>162</v>
      </c>
      <c r="G148" t="s">
        <v>724</v>
      </c>
      <c r="H148" t="s">
        <v>135</v>
      </c>
      <c r="I148" t="s">
        <v>189</v>
      </c>
      <c r="J148" t="s">
        <v>26</v>
      </c>
      <c r="K148" t="s">
        <v>27</v>
      </c>
      <c r="L148" t="s">
        <v>28</v>
      </c>
      <c r="M148" t="s">
        <v>166</v>
      </c>
      <c r="N148" t="s">
        <v>30</v>
      </c>
      <c r="O148" t="s">
        <v>31</v>
      </c>
      <c r="P148" t="s">
        <v>75</v>
      </c>
      <c r="Q148" t="s">
        <v>725</v>
      </c>
      <c r="R148" t="s">
        <v>191</v>
      </c>
      <c r="S148" t="s">
        <v>726</v>
      </c>
    </row>
    <row r="149" ht="55" customHeight="1" spans="1:19">
      <c r="A149" s="1" t="str">
        <f>_xlfn.DISPIMG("ID_AD1B3B042678401C82B345705B0D5047",1)</f>
        <v>=DISPIMG("ID_AD1B3B042678401C82B345705B0D5047",1)</v>
      </c>
      <c r="B149" t="s">
        <v>465</v>
      </c>
      <c r="C149" t="s">
        <v>727</v>
      </c>
      <c r="D149" t="s">
        <v>143</v>
      </c>
      <c r="E149" t="s">
        <v>144</v>
      </c>
      <c r="F149" t="s">
        <v>40</v>
      </c>
      <c r="G149" t="s">
        <v>216</v>
      </c>
      <c r="H149" t="s">
        <v>144</v>
      </c>
      <c r="I149" t="s">
        <v>42</v>
      </c>
      <c r="J149" t="s">
        <v>26</v>
      </c>
      <c r="K149" t="s">
        <v>27</v>
      </c>
      <c r="L149" t="s">
        <v>28</v>
      </c>
      <c r="M149" t="s">
        <v>29</v>
      </c>
      <c r="N149" t="s">
        <v>30</v>
      </c>
      <c r="O149" t="s">
        <v>31</v>
      </c>
      <c r="P149" t="s">
        <v>75</v>
      </c>
      <c r="Q149" t="s">
        <v>468</v>
      </c>
      <c r="R149" t="s">
        <v>45</v>
      </c>
      <c r="S149" t="s">
        <v>728</v>
      </c>
    </row>
    <row r="150" ht="55" customHeight="1" spans="1:19">
      <c r="A150" s="1" t="str">
        <f>_xlfn.DISPIMG("ID_3E75F49E471D4C20B3B93D4670A8A62C",1)</f>
        <v>=DISPIMG("ID_3E75F49E471D4C20B3B93D4670A8A62C",1)</v>
      </c>
      <c r="B150" t="s">
        <v>626</v>
      </c>
      <c r="C150" t="s">
        <v>729</v>
      </c>
      <c r="D150" t="s">
        <v>730</v>
      </c>
      <c r="E150" t="s">
        <v>731</v>
      </c>
      <c r="F150" t="s">
        <v>162</v>
      </c>
      <c r="G150" t="s">
        <v>732</v>
      </c>
      <c r="H150" t="s">
        <v>731</v>
      </c>
      <c r="I150" t="s">
        <v>175</v>
      </c>
      <c r="J150" t="s">
        <v>26</v>
      </c>
      <c r="K150" t="s">
        <v>27</v>
      </c>
      <c r="L150" t="s">
        <v>28</v>
      </c>
      <c r="M150" t="s">
        <v>166</v>
      </c>
      <c r="N150" t="s">
        <v>64</v>
      </c>
      <c r="O150" t="s">
        <v>31</v>
      </c>
      <c r="P150" t="s">
        <v>733</v>
      </c>
      <c r="Q150" t="s">
        <v>122</v>
      </c>
      <c r="R150" t="s">
        <v>147</v>
      </c>
      <c r="S150" t="s">
        <v>734</v>
      </c>
    </row>
    <row r="151" ht="55" customHeight="1" spans="1:19">
      <c r="A151" s="1" t="str">
        <f>_xlfn.DISPIMG("ID_FEE605E02B1A43CB86B93F224DD27811",1)</f>
        <v>=DISPIMG("ID_FEE605E02B1A43CB86B93F224DD27811",1)</v>
      </c>
      <c r="B151" t="s">
        <v>735</v>
      </c>
      <c r="C151" t="s">
        <v>378</v>
      </c>
      <c r="D151" t="s">
        <v>349</v>
      </c>
      <c r="E151" t="s">
        <v>461</v>
      </c>
      <c r="F151" t="s">
        <v>91</v>
      </c>
      <c r="G151" t="s">
        <v>436</v>
      </c>
      <c r="H151" t="s">
        <v>461</v>
      </c>
      <c r="I151" t="s">
        <v>175</v>
      </c>
      <c r="J151" t="s">
        <v>26</v>
      </c>
      <c r="K151" t="s">
        <v>27</v>
      </c>
      <c r="L151" t="s">
        <v>28</v>
      </c>
      <c r="M151" t="s">
        <v>93</v>
      </c>
      <c r="N151" t="s">
        <v>30</v>
      </c>
      <c r="O151" t="s">
        <v>31</v>
      </c>
      <c r="P151" t="s">
        <v>138</v>
      </c>
      <c r="Q151" t="s">
        <v>297</v>
      </c>
      <c r="R151" t="s">
        <v>736</v>
      </c>
      <c r="S151" t="s">
        <v>737</v>
      </c>
    </row>
    <row r="152" ht="55" customHeight="1" spans="1:19">
      <c r="A152" s="1" t="str">
        <f>_xlfn.DISPIMG("ID_C07967F4F41A4F6197AAF67E1F87E9B5",1)</f>
        <v>=DISPIMG("ID_C07967F4F41A4F6197AAF67E1F87E9B5",1)</v>
      </c>
      <c r="B152" t="s">
        <v>366</v>
      </c>
      <c r="C152" t="s">
        <v>738</v>
      </c>
      <c r="D152" t="s">
        <v>581</v>
      </c>
      <c r="E152" t="s">
        <v>739</v>
      </c>
      <c r="F152" t="s">
        <v>245</v>
      </c>
      <c r="G152" t="s">
        <v>740</v>
      </c>
      <c r="H152" t="s">
        <v>22</v>
      </c>
      <c r="I152" t="s">
        <v>165</v>
      </c>
      <c r="J152" t="s">
        <v>26</v>
      </c>
      <c r="K152" t="s">
        <v>27</v>
      </c>
      <c r="L152" t="s">
        <v>231</v>
      </c>
      <c r="M152" t="s">
        <v>93</v>
      </c>
      <c r="N152" t="s">
        <v>30</v>
      </c>
      <c r="O152" t="s">
        <v>31</v>
      </c>
      <c r="P152" t="s">
        <v>65</v>
      </c>
      <c r="Q152" t="s">
        <v>297</v>
      </c>
      <c r="R152" t="s">
        <v>370</v>
      </c>
      <c r="S152" t="s">
        <v>741</v>
      </c>
    </row>
    <row r="153" ht="55" customHeight="1" spans="1:19">
      <c r="A153" s="1" t="str">
        <f>_xlfn.DISPIMG("ID_85F6F710542A447EB4C66DB88C9565D7",1)</f>
        <v>=DISPIMG("ID_85F6F710542A447EB4C66DB88C9565D7",1)</v>
      </c>
      <c r="B153" t="s">
        <v>742</v>
      </c>
      <c r="C153" t="s">
        <v>743</v>
      </c>
      <c r="D153" t="s">
        <v>356</v>
      </c>
      <c r="E153" t="s">
        <v>357</v>
      </c>
      <c r="F153" t="s">
        <v>91</v>
      </c>
      <c r="G153" t="s">
        <v>744</v>
      </c>
      <c r="H153" t="s">
        <v>357</v>
      </c>
      <c r="I153" t="s">
        <v>175</v>
      </c>
      <c r="J153" t="s">
        <v>230</v>
      </c>
      <c r="K153" t="s">
        <v>27</v>
      </c>
      <c r="L153" t="s">
        <v>323</v>
      </c>
      <c r="M153" t="s">
        <v>93</v>
      </c>
      <c r="N153" t="s">
        <v>30</v>
      </c>
      <c r="O153" t="s">
        <v>31</v>
      </c>
      <c r="P153" t="s">
        <v>75</v>
      </c>
      <c r="Q153" t="s">
        <v>255</v>
      </c>
      <c r="R153" t="s">
        <v>745</v>
      </c>
      <c r="S153" t="s">
        <v>746</v>
      </c>
    </row>
    <row r="154" ht="55" customHeight="1" spans="1:19">
      <c r="A154" s="1" t="str">
        <f>_xlfn.DISPIMG("ID_B2E565B5C2EB4E32AEE2B6EBA89ECC39",1)</f>
        <v>=DISPIMG("ID_B2E565B5C2EB4E32AEE2B6EBA89ECC39",1)</v>
      </c>
      <c r="B154" t="s">
        <v>366</v>
      </c>
      <c r="C154" t="s">
        <v>89</v>
      </c>
      <c r="D154" t="s">
        <v>466</v>
      </c>
      <c r="E154" t="s">
        <v>357</v>
      </c>
      <c r="F154" t="s">
        <v>245</v>
      </c>
      <c r="G154" t="s">
        <v>747</v>
      </c>
      <c r="H154" t="s">
        <v>357</v>
      </c>
      <c r="I154" t="s">
        <v>165</v>
      </c>
      <c r="J154" t="s">
        <v>26</v>
      </c>
      <c r="K154" t="s">
        <v>27</v>
      </c>
      <c r="L154" t="s">
        <v>748</v>
      </c>
      <c r="M154" t="s">
        <v>93</v>
      </c>
      <c r="N154" t="s">
        <v>30</v>
      </c>
      <c r="O154" t="s">
        <v>31</v>
      </c>
      <c r="P154" t="s">
        <v>154</v>
      </c>
      <c r="Q154" t="s">
        <v>297</v>
      </c>
      <c r="R154" t="s">
        <v>370</v>
      </c>
      <c r="S154" t="s">
        <v>749</v>
      </c>
    </row>
    <row r="155" ht="55" customHeight="1" spans="1:19">
      <c r="A155" s="1" t="str">
        <f>_xlfn.DISPIMG("ID_EF00C44165514EE08E09678EF933A9F6",1)</f>
        <v>=DISPIMG("ID_EF00C44165514EE08E09678EF933A9F6",1)</v>
      </c>
      <c r="B155" t="s">
        <v>476</v>
      </c>
      <c r="C155" t="s">
        <v>283</v>
      </c>
      <c r="D155" t="s">
        <v>750</v>
      </c>
      <c r="E155" t="s">
        <v>316</v>
      </c>
      <c r="F155" t="s">
        <v>40</v>
      </c>
      <c r="G155" t="s">
        <v>312</v>
      </c>
      <c r="H155" t="s">
        <v>144</v>
      </c>
      <c r="I155" t="s">
        <v>42</v>
      </c>
      <c r="J155" t="s">
        <v>26</v>
      </c>
      <c r="K155" t="s">
        <v>27</v>
      </c>
      <c r="L155" t="s">
        <v>28</v>
      </c>
      <c r="M155" t="s">
        <v>29</v>
      </c>
      <c r="N155" t="s">
        <v>64</v>
      </c>
      <c r="O155" t="s">
        <v>31</v>
      </c>
      <c r="P155" t="s">
        <v>751</v>
      </c>
      <c r="Q155" t="s">
        <v>752</v>
      </c>
      <c r="R155" t="s">
        <v>114</v>
      </c>
      <c r="S155" t="s">
        <v>753</v>
      </c>
    </row>
    <row r="156" ht="55" customHeight="1" spans="1:19">
      <c r="A156" s="1" t="str">
        <f>_xlfn.DISPIMG("ID_44FA970D154644CEA1A1EA4AA3233365",1)</f>
        <v>=DISPIMG("ID_44FA970D154644CEA1A1EA4AA3233365",1)</v>
      </c>
      <c r="B156" t="s">
        <v>754</v>
      </c>
      <c r="C156" t="s">
        <v>314</v>
      </c>
      <c r="D156" t="s">
        <v>755</v>
      </c>
      <c r="E156" t="s">
        <v>119</v>
      </c>
      <c r="F156" t="s">
        <v>162</v>
      </c>
      <c r="G156" t="s">
        <v>284</v>
      </c>
      <c r="H156" t="s">
        <v>119</v>
      </c>
      <c r="I156" t="s">
        <v>175</v>
      </c>
      <c r="J156" t="s">
        <v>26</v>
      </c>
      <c r="K156" t="s">
        <v>27</v>
      </c>
      <c r="L156" t="s">
        <v>28</v>
      </c>
      <c r="M156" t="s">
        <v>166</v>
      </c>
      <c r="N156" t="s">
        <v>30</v>
      </c>
      <c r="O156" t="s">
        <v>31</v>
      </c>
      <c r="P156" t="s">
        <v>756</v>
      </c>
      <c r="Q156" t="s">
        <v>76</v>
      </c>
      <c r="R156" t="s">
        <v>234</v>
      </c>
      <c r="S156" t="s">
        <v>757</v>
      </c>
    </row>
    <row r="157" ht="55" customHeight="1" spans="1:19">
      <c r="A157" s="1" t="str">
        <f>_xlfn.DISPIMG("ID_94BB96BF92D74FADA3763750DA972F57",1)</f>
        <v>=DISPIMG("ID_94BB96BF92D74FADA3763750DA972F57",1)</v>
      </c>
      <c r="B157" t="s">
        <v>257</v>
      </c>
      <c r="C157" t="s">
        <v>289</v>
      </c>
      <c r="D157" t="s">
        <v>425</v>
      </c>
      <c r="E157" t="s">
        <v>100</v>
      </c>
      <c r="F157" t="s">
        <v>51</v>
      </c>
      <c r="G157" t="s">
        <v>758</v>
      </c>
      <c r="H157" t="s">
        <v>100</v>
      </c>
      <c r="I157" t="s">
        <v>25</v>
      </c>
      <c r="J157" t="s">
        <v>26</v>
      </c>
      <c r="K157" t="s">
        <v>27</v>
      </c>
      <c r="L157" t="s">
        <v>28</v>
      </c>
      <c r="M157" t="s">
        <v>29</v>
      </c>
      <c r="N157" t="s">
        <v>64</v>
      </c>
      <c r="O157" t="s">
        <v>31</v>
      </c>
      <c r="P157" t="s">
        <v>543</v>
      </c>
      <c r="Q157" t="s">
        <v>155</v>
      </c>
      <c r="R157" t="s">
        <v>263</v>
      </c>
      <c r="S157" t="s">
        <v>759</v>
      </c>
    </row>
    <row r="158" ht="55" customHeight="1" spans="1:19">
      <c r="A158" s="1" t="str">
        <f>_xlfn.DISPIMG("ID_413EF2AB7612454FB4F8E7417207FE84",1)</f>
        <v>=DISPIMG("ID_413EF2AB7612454FB4F8E7417207FE84",1)</v>
      </c>
      <c r="B158" t="s">
        <v>106</v>
      </c>
      <c r="C158" t="s">
        <v>760</v>
      </c>
      <c r="D158" t="s">
        <v>524</v>
      </c>
      <c r="E158" t="s">
        <v>63</v>
      </c>
      <c r="F158" t="s">
        <v>40</v>
      </c>
      <c r="G158" t="s">
        <v>174</v>
      </c>
      <c r="H158" t="s">
        <v>63</v>
      </c>
      <c r="I158" t="s">
        <v>42</v>
      </c>
      <c r="J158" t="s">
        <v>26</v>
      </c>
      <c r="K158" t="s">
        <v>27</v>
      </c>
      <c r="L158" t="s">
        <v>28</v>
      </c>
      <c r="M158" t="s">
        <v>29</v>
      </c>
      <c r="N158" t="s">
        <v>64</v>
      </c>
      <c r="O158" t="s">
        <v>31</v>
      </c>
      <c r="P158" t="s">
        <v>75</v>
      </c>
      <c r="Q158" t="s">
        <v>76</v>
      </c>
      <c r="R158" t="s">
        <v>114</v>
      </c>
      <c r="S158" t="s">
        <v>761</v>
      </c>
    </row>
    <row r="159" ht="55" customHeight="1" spans="1:19">
      <c r="A159" s="1" t="str">
        <f>_xlfn.DISPIMG("ID_CCED00FA145D41C6B9D470E189C34A41",1)</f>
        <v>=DISPIMG("ID_CCED00FA145D41C6B9D470E189C34A41",1)</v>
      </c>
      <c r="B159" t="s">
        <v>465</v>
      </c>
      <c r="C159" t="s">
        <v>283</v>
      </c>
      <c r="D159" t="s">
        <v>762</v>
      </c>
      <c r="E159" t="s">
        <v>573</v>
      </c>
      <c r="F159" t="s">
        <v>40</v>
      </c>
      <c r="G159" t="s">
        <v>246</v>
      </c>
      <c r="H159" t="s">
        <v>211</v>
      </c>
      <c r="I159" t="s">
        <v>42</v>
      </c>
      <c r="J159" t="s">
        <v>26</v>
      </c>
      <c r="K159" t="s">
        <v>27</v>
      </c>
      <c r="L159" t="s">
        <v>28</v>
      </c>
      <c r="M159" t="s">
        <v>29</v>
      </c>
      <c r="N159" t="s">
        <v>30</v>
      </c>
      <c r="O159" t="s">
        <v>31</v>
      </c>
      <c r="P159" t="s">
        <v>763</v>
      </c>
      <c r="Q159" t="s">
        <v>44</v>
      </c>
      <c r="R159" t="s">
        <v>45</v>
      </c>
      <c r="S159" t="s">
        <v>764</v>
      </c>
    </row>
    <row r="160" ht="55" customHeight="1" spans="1:19">
      <c r="A160" s="1" t="str">
        <f>_xlfn.DISPIMG("ID_02BB7D7EBEA94023A3080663A11C39FA",1)</f>
        <v>=DISPIMG("ID_02BB7D7EBEA94023A3080663A11C39FA",1)</v>
      </c>
      <c r="B160" t="s">
        <v>257</v>
      </c>
      <c r="C160" t="s">
        <v>560</v>
      </c>
      <c r="D160" t="s">
        <v>259</v>
      </c>
      <c r="E160" t="s">
        <v>63</v>
      </c>
      <c r="F160" t="s">
        <v>51</v>
      </c>
      <c r="G160" t="s">
        <v>174</v>
      </c>
      <c r="H160" t="s">
        <v>63</v>
      </c>
      <c r="I160" t="s">
        <v>25</v>
      </c>
      <c r="J160" t="s">
        <v>26</v>
      </c>
      <c r="K160" t="s">
        <v>27</v>
      </c>
      <c r="L160" t="s">
        <v>53</v>
      </c>
      <c r="M160" t="s">
        <v>29</v>
      </c>
      <c r="N160" t="s">
        <v>64</v>
      </c>
      <c r="O160" t="s">
        <v>31</v>
      </c>
      <c r="P160" t="s">
        <v>75</v>
      </c>
      <c r="Q160" t="s">
        <v>765</v>
      </c>
      <c r="R160" t="s">
        <v>263</v>
      </c>
      <c r="S160" t="s">
        <v>766</v>
      </c>
    </row>
    <row r="161" ht="55" customHeight="1" spans="1:19">
      <c r="A161" s="1" t="str">
        <f>_xlfn.DISPIMG("ID_44CA36B2DF27474BA1A624665218D4BB",1)</f>
        <v>=DISPIMG("ID_44CA36B2DF27474BA1A624665218D4BB",1)</v>
      </c>
      <c r="B161" t="s">
        <v>767</v>
      </c>
      <c r="C161" t="s">
        <v>768</v>
      </c>
      <c r="D161" t="s">
        <v>769</v>
      </c>
      <c r="E161" t="s">
        <v>27</v>
      </c>
      <c r="F161" t="s">
        <v>770</v>
      </c>
      <c r="G161" t="s">
        <v>538</v>
      </c>
      <c r="H161" t="s">
        <v>27</v>
      </c>
      <c r="I161" t="s">
        <v>25</v>
      </c>
      <c r="J161" t="s">
        <v>26</v>
      </c>
      <c r="K161" t="s">
        <v>27</v>
      </c>
      <c r="L161" t="s">
        <v>557</v>
      </c>
      <c r="M161" t="s">
        <v>29</v>
      </c>
      <c r="N161" t="s">
        <v>30</v>
      </c>
      <c r="O161" t="s">
        <v>31</v>
      </c>
      <c r="P161" t="s">
        <v>351</v>
      </c>
      <c r="Q161" t="s">
        <v>113</v>
      </c>
      <c r="R161" t="s">
        <v>771</v>
      </c>
      <c r="S161" t="s">
        <v>772</v>
      </c>
    </row>
    <row r="162" ht="55" customHeight="1" spans="1:19">
      <c r="A162" s="1" t="str">
        <f>_xlfn.DISPIMG("ID_304F3632A1C3488285DD18DC998B451F",1)</f>
        <v>=DISPIMG("ID_304F3632A1C3488285DD18DC998B451F",1)</v>
      </c>
      <c r="B162" t="s">
        <v>282</v>
      </c>
      <c r="C162" t="s">
        <v>773</v>
      </c>
      <c r="D162" t="s">
        <v>210</v>
      </c>
      <c r="E162" t="s">
        <v>211</v>
      </c>
      <c r="F162" t="s">
        <v>40</v>
      </c>
      <c r="G162" t="s">
        <v>306</v>
      </c>
      <c r="H162" t="s">
        <v>774</v>
      </c>
      <c r="I162" t="s">
        <v>42</v>
      </c>
      <c r="J162" t="s">
        <v>26</v>
      </c>
      <c r="K162" t="s">
        <v>27</v>
      </c>
      <c r="L162" t="s">
        <v>28</v>
      </c>
      <c r="M162" t="s">
        <v>29</v>
      </c>
      <c r="N162" t="s">
        <v>30</v>
      </c>
      <c r="O162" t="s">
        <v>31</v>
      </c>
      <c r="P162" t="s">
        <v>75</v>
      </c>
      <c r="Q162" t="s">
        <v>113</v>
      </c>
      <c r="R162" t="s">
        <v>147</v>
      </c>
      <c r="S162" t="s">
        <v>775</v>
      </c>
    </row>
    <row r="163" ht="55" customHeight="1" spans="1:19">
      <c r="A163" s="1" t="str">
        <f>_xlfn.DISPIMG("ID_7CF66728BC49402FB4578B024C7543A5",1)</f>
        <v>=DISPIMG("ID_7CF66728BC49402FB4578B024C7543A5",1)</v>
      </c>
      <c r="B163" t="s">
        <v>465</v>
      </c>
      <c r="C163" t="s">
        <v>776</v>
      </c>
      <c r="D163" t="s">
        <v>349</v>
      </c>
      <c r="E163" t="s">
        <v>461</v>
      </c>
      <c r="F163" t="s">
        <v>40</v>
      </c>
      <c r="G163" t="s">
        <v>777</v>
      </c>
      <c r="H163" t="s">
        <v>461</v>
      </c>
      <c r="I163" t="s">
        <v>42</v>
      </c>
      <c r="J163" t="s">
        <v>26</v>
      </c>
      <c r="K163" t="s">
        <v>27</v>
      </c>
      <c r="L163" t="s">
        <v>28</v>
      </c>
      <c r="M163" t="s">
        <v>29</v>
      </c>
      <c r="N163" t="s">
        <v>30</v>
      </c>
      <c r="O163" t="s">
        <v>31</v>
      </c>
      <c r="P163" t="s">
        <v>414</v>
      </c>
      <c r="Q163" t="s">
        <v>352</v>
      </c>
      <c r="R163" t="s">
        <v>45</v>
      </c>
      <c r="S163" t="s">
        <v>778</v>
      </c>
    </row>
    <row r="164" ht="55" customHeight="1" spans="1:19">
      <c r="A164" s="1" t="str">
        <f>_xlfn.DISPIMG("ID_8667DD75EAB340B0B43B9BB2F6E5BF14",1)</f>
        <v>=DISPIMG("ID_8667DD75EAB340B0B43B9BB2F6E5BF14",1)</v>
      </c>
      <c r="B164" t="s">
        <v>779</v>
      </c>
      <c r="C164" t="s">
        <v>780</v>
      </c>
      <c r="D164" t="s">
        <v>425</v>
      </c>
      <c r="E164" t="s">
        <v>100</v>
      </c>
      <c r="F164" t="s">
        <v>162</v>
      </c>
      <c r="G164" t="s">
        <v>431</v>
      </c>
      <c r="H164" t="s">
        <v>100</v>
      </c>
      <c r="I164" t="s">
        <v>175</v>
      </c>
      <c r="J164" t="s">
        <v>230</v>
      </c>
      <c r="K164" t="s">
        <v>27</v>
      </c>
      <c r="L164" t="s">
        <v>74</v>
      </c>
      <c r="M164" t="s">
        <v>166</v>
      </c>
      <c r="N164" t="s">
        <v>30</v>
      </c>
      <c r="O164" t="s">
        <v>31</v>
      </c>
      <c r="P164" t="s">
        <v>65</v>
      </c>
      <c r="Q164" t="s">
        <v>76</v>
      </c>
      <c r="R164" t="s">
        <v>781</v>
      </c>
      <c r="S164" t="s">
        <v>782</v>
      </c>
    </row>
    <row r="165" ht="55" customHeight="1" spans="1:19">
      <c r="A165" s="1" t="str">
        <f>_xlfn.DISPIMG("ID_43416652F9614C4C8FBDB13F22351B32",1)</f>
        <v>=DISPIMG("ID_43416652F9614C4C8FBDB13F22351B32",1)</v>
      </c>
      <c r="B165" t="s">
        <v>465</v>
      </c>
      <c r="C165" t="s">
        <v>391</v>
      </c>
      <c r="D165" t="s">
        <v>210</v>
      </c>
      <c r="E165" t="s">
        <v>211</v>
      </c>
      <c r="F165" t="s">
        <v>40</v>
      </c>
      <c r="G165" t="s">
        <v>41</v>
      </c>
      <c r="H165" t="s">
        <v>211</v>
      </c>
      <c r="I165" t="s">
        <v>42</v>
      </c>
      <c r="J165" t="s">
        <v>26</v>
      </c>
      <c r="K165" t="s">
        <v>27</v>
      </c>
      <c r="L165" t="s">
        <v>28</v>
      </c>
      <c r="M165" t="s">
        <v>29</v>
      </c>
      <c r="N165" t="s">
        <v>30</v>
      </c>
      <c r="O165" t="s">
        <v>31</v>
      </c>
      <c r="P165" t="s">
        <v>247</v>
      </c>
      <c r="Q165" t="s">
        <v>297</v>
      </c>
      <c r="R165" t="s">
        <v>45</v>
      </c>
      <c r="S165" t="s">
        <v>783</v>
      </c>
    </row>
    <row r="166" ht="55" customHeight="1" spans="1:19">
      <c r="A166" s="1" t="str">
        <f>_xlfn.DISPIMG("ID_7173ECE897C34C2596627066134FE23B",1)</f>
        <v>=DISPIMG("ID_7173ECE897C34C2596627066134FE23B",1)</v>
      </c>
      <c r="B166" t="s">
        <v>784</v>
      </c>
      <c r="C166" t="s">
        <v>498</v>
      </c>
      <c r="D166" t="s">
        <v>785</v>
      </c>
      <c r="E166" t="s">
        <v>135</v>
      </c>
      <c r="F166" t="s">
        <v>519</v>
      </c>
      <c r="G166" t="s">
        <v>174</v>
      </c>
      <c r="H166" t="s">
        <v>135</v>
      </c>
      <c r="I166" t="s">
        <v>487</v>
      </c>
      <c r="J166" t="s">
        <v>26</v>
      </c>
      <c r="K166" t="s">
        <v>27</v>
      </c>
      <c r="L166" t="s">
        <v>74</v>
      </c>
      <c r="M166" t="s">
        <v>29</v>
      </c>
      <c r="N166" t="s">
        <v>30</v>
      </c>
      <c r="O166" t="s">
        <v>31</v>
      </c>
      <c r="P166" t="s">
        <v>138</v>
      </c>
      <c r="Q166" t="s">
        <v>76</v>
      </c>
      <c r="R166" t="s">
        <v>786</v>
      </c>
      <c r="S166" t="s">
        <v>787</v>
      </c>
    </row>
    <row r="167" ht="55" customHeight="1" spans="1:19">
      <c r="A167" s="1" t="str">
        <f>_xlfn.DISPIMG("ID_FAA288C2EEB74599A79DD95E1ECBA7B0",1)</f>
        <v>=DISPIMG("ID_FAA288C2EEB74599A79DD95E1ECBA7B0",1)</v>
      </c>
      <c r="B167" t="s">
        <v>257</v>
      </c>
      <c r="C167" t="s">
        <v>788</v>
      </c>
      <c r="D167" t="s">
        <v>789</v>
      </c>
      <c r="E167" t="s">
        <v>164</v>
      </c>
      <c r="F167" t="s">
        <v>51</v>
      </c>
      <c r="G167" t="s">
        <v>402</v>
      </c>
      <c r="H167" t="s">
        <v>164</v>
      </c>
      <c r="I167" t="s">
        <v>25</v>
      </c>
      <c r="J167" t="s">
        <v>26</v>
      </c>
      <c r="K167" t="s">
        <v>27</v>
      </c>
      <c r="L167" t="s">
        <v>28</v>
      </c>
      <c r="M167" t="s">
        <v>29</v>
      </c>
      <c r="N167" t="s">
        <v>30</v>
      </c>
      <c r="O167" t="s">
        <v>31</v>
      </c>
      <c r="P167" t="s">
        <v>221</v>
      </c>
      <c r="Q167" t="s">
        <v>122</v>
      </c>
      <c r="R167" t="s">
        <v>263</v>
      </c>
      <c r="S167" t="s">
        <v>790</v>
      </c>
    </row>
    <row r="168" ht="55" customHeight="1" spans="1:19">
      <c r="A168" s="1" t="str">
        <f>_xlfn.DISPIMG("ID_D5C166E4F3CF427E901B5ABDFC539D9F",1)</f>
        <v>=DISPIMG("ID_D5C166E4F3CF427E901B5ABDFC539D9F",1)</v>
      </c>
      <c r="B168" t="s">
        <v>288</v>
      </c>
      <c r="C168" t="s">
        <v>791</v>
      </c>
      <c r="D168" t="s">
        <v>310</v>
      </c>
      <c r="E168" t="s">
        <v>311</v>
      </c>
      <c r="F168" t="s">
        <v>290</v>
      </c>
      <c r="G168" t="s">
        <v>345</v>
      </c>
      <c r="H168" t="s">
        <v>39</v>
      </c>
      <c r="I168" t="s">
        <v>42</v>
      </c>
      <c r="J168" t="s">
        <v>26</v>
      </c>
      <c r="K168" t="s">
        <v>27</v>
      </c>
      <c r="L168" t="s">
        <v>28</v>
      </c>
      <c r="M168" t="s">
        <v>93</v>
      </c>
      <c r="N168" t="s">
        <v>30</v>
      </c>
      <c r="O168" t="s">
        <v>31</v>
      </c>
      <c r="P168" t="s">
        <v>112</v>
      </c>
      <c r="Q168" t="s">
        <v>792</v>
      </c>
      <c r="R168" t="s">
        <v>293</v>
      </c>
      <c r="S168" t="s">
        <v>793</v>
      </c>
    </row>
    <row r="169" ht="55" customHeight="1" spans="1:19">
      <c r="A169" s="1" t="str">
        <f>_xlfn.DISPIMG("ID_9B41C5B428564F16BAEC5DC61F35749F",1)</f>
        <v>=DISPIMG("ID_9B41C5B428564F16BAEC5DC61F35749F",1)</v>
      </c>
      <c r="B169" t="s">
        <v>794</v>
      </c>
      <c r="C169" t="s">
        <v>289</v>
      </c>
      <c r="D169" t="s">
        <v>180</v>
      </c>
      <c r="E169" t="s">
        <v>111</v>
      </c>
      <c r="F169" t="s">
        <v>290</v>
      </c>
      <c r="G169" t="s">
        <v>101</v>
      </c>
      <c r="H169" t="s">
        <v>111</v>
      </c>
      <c r="I169" t="s">
        <v>42</v>
      </c>
      <c r="J169" t="s">
        <v>26</v>
      </c>
      <c r="K169" t="s">
        <v>27</v>
      </c>
      <c r="L169" t="s">
        <v>28</v>
      </c>
      <c r="M169" t="s">
        <v>93</v>
      </c>
      <c r="N169" t="s">
        <v>30</v>
      </c>
      <c r="O169" t="s">
        <v>31</v>
      </c>
      <c r="P169" t="s">
        <v>75</v>
      </c>
      <c r="Q169" t="s">
        <v>795</v>
      </c>
      <c r="R169" t="s">
        <v>130</v>
      </c>
      <c r="S169" t="s">
        <v>796</v>
      </c>
    </row>
    <row r="170" ht="55" customHeight="1" spans="1:19">
      <c r="A170" s="1" t="str">
        <f>_xlfn.DISPIMG("ID_21B4271FC68D45509038C49C4F1C07C9",1)</f>
        <v>=DISPIMG("ID_21B4271FC68D45509038C49C4F1C07C9",1)</v>
      </c>
      <c r="B170" t="s">
        <v>797</v>
      </c>
      <c r="C170" t="s">
        <v>798</v>
      </c>
      <c r="D170" t="s">
        <v>799</v>
      </c>
      <c r="E170" t="s">
        <v>305</v>
      </c>
      <c r="F170" t="s">
        <v>40</v>
      </c>
      <c r="G170" t="s">
        <v>740</v>
      </c>
      <c r="H170" t="s">
        <v>50</v>
      </c>
      <c r="I170" t="s">
        <v>42</v>
      </c>
      <c r="J170" t="s">
        <v>26</v>
      </c>
      <c r="K170" t="s">
        <v>27</v>
      </c>
      <c r="L170" t="s">
        <v>28</v>
      </c>
      <c r="M170" t="s">
        <v>29</v>
      </c>
      <c r="N170" t="s">
        <v>30</v>
      </c>
      <c r="O170" t="s">
        <v>31</v>
      </c>
      <c r="P170" t="s">
        <v>138</v>
      </c>
      <c r="Q170" t="s">
        <v>255</v>
      </c>
      <c r="R170" t="s">
        <v>45</v>
      </c>
      <c r="S170" t="s">
        <v>800</v>
      </c>
    </row>
    <row r="171" ht="55" customHeight="1" spans="1:19">
      <c r="A171" s="1" t="str">
        <f>_xlfn.DISPIMG("ID_1D4E1C7C4E124D09B832B4A26300561A",1)</f>
        <v>=DISPIMG("ID_1D4E1C7C4E124D09B832B4A26300561A",1)</v>
      </c>
      <c r="B171" t="s">
        <v>58</v>
      </c>
      <c r="C171" t="s">
        <v>801</v>
      </c>
      <c r="D171" t="s">
        <v>60</v>
      </c>
      <c r="E171" t="s">
        <v>61</v>
      </c>
      <c r="F171" t="s">
        <v>51</v>
      </c>
      <c r="G171" t="s">
        <v>101</v>
      </c>
      <c r="H171" t="s">
        <v>63</v>
      </c>
      <c r="I171" t="s">
        <v>42</v>
      </c>
      <c r="J171" t="s">
        <v>26</v>
      </c>
      <c r="K171" t="s">
        <v>27</v>
      </c>
      <c r="L171" t="s">
        <v>28</v>
      </c>
      <c r="M171" t="s">
        <v>29</v>
      </c>
      <c r="N171" t="s">
        <v>64</v>
      </c>
      <c r="O171" t="s">
        <v>31</v>
      </c>
      <c r="P171" t="s">
        <v>285</v>
      </c>
      <c r="Q171" t="s">
        <v>802</v>
      </c>
      <c r="R171" t="s">
        <v>409</v>
      </c>
      <c r="S171" t="s">
        <v>803</v>
      </c>
    </row>
    <row r="172" ht="55" customHeight="1" spans="1:19">
      <c r="A172" s="1" t="str">
        <f>_xlfn.DISPIMG("ID_1A17E692A2DA49CEA73BEFE32CBAA5A1",1)</f>
        <v>=DISPIMG("ID_1A17E692A2DA49CEA73BEFE32CBAA5A1",1)</v>
      </c>
      <c r="B172" t="s">
        <v>282</v>
      </c>
      <c r="C172" t="s">
        <v>804</v>
      </c>
      <c r="D172" t="s">
        <v>244</v>
      </c>
      <c r="E172" t="s">
        <v>164</v>
      </c>
      <c r="F172" t="s">
        <v>40</v>
      </c>
      <c r="G172" t="s">
        <v>600</v>
      </c>
      <c r="H172" t="s">
        <v>164</v>
      </c>
      <c r="I172" t="s">
        <v>42</v>
      </c>
      <c r="J172" t="s">
        <v>26</v>
      </c>
      <c r="K172" t="s">
        <v>27</v>
      </c>
      <c r="L172" t="s">
        <v>28</v>
      </c>
      <c r="M172" t="s">
        <v>29</v>
      </c>
      <c r="N172" t="s">
        <v>30</v>
      </c>
      <c r="O172" t="s">
        <v>31</v>
      </c>
      <c r="P172" t="s">
        <v>221</v>
      </c>
      <c r="Q172" t="s">
        <v>129</v>
      </c>
      <c r="R172" t="s">
        <v>45</v>
      </c>
      <c r="S172" t="s">
        <v>805</v>
      </c>
    </row>
    <row r="173" ht="55" customHeight="1" spans="1:19">
      <c r="A173" s="1" t="str">
        <f>_xlfn.DISPIMG("ID_2D3F3E93CCD3428E84BAC247945D4F7F",1)</f>
        <v>=DISPIMG("ID_2D3F3E93CCD3428E84BAC247945D4F7F",1)</v>
      </c>
      <c r="B173" t="s">
        <v>534</v>
      </c>
      <c r="C173" t="s">
        <v>806</v>
      </c>
      <c r="D173" t="s">
        <v>536</v>
      </c>
      <c r="E173" t="s">
        <v>100</v>
      </c>
      <c r="F173" t="s">
        <v>40</v>
      </c>
      <c r="G173" t="s">
        <v>538</v>
      </c>
      <c r="H173" t="s">
        <v>100</v>
      </c>
      <c r="I173" t="s">
        <v>42</v>
      </c>
      <c r="J173" t="s">
        <v>26</v>
      </c>
      <c r="K173" t="s">
        <v>27</v>
      </c>
      <c r="L173" t="s">
        <v>28</v>
      </c>
      <c r="M173" t="s">
        <v>29</v>
      </c>
      <c r="N173" t="s">
        <v>30</v>
      </c>
      <c r="O173" t="s">
        <v>31</v>
      </c>
      <c r="P173" t="s">
        <v>75</v>
      </c>
      <c r="Q173" t="s">
        <v>807</v>
      </c>
      <c r="R173" t="s">
        <v>86</v>
      </c>
      <c r="S173" t="s">
        <v>808</v>
      </c>
    </row>
    <row r="174" ht="55" customHeight="1" spans="1:19">
      <c r="A174" s="1" t="str">
        <f>_xlfn.DISPIMG("ID_9BD6DCE19A784692AFBE7661B17553F1",1)</f>
        <v>=DISPIMG("ID_9BD6DCE19A784692AFBE7661B17553F1",1)</v>
      </c>
      <c r="B174" t="s">
        <v>288</v>
      </c>
      <c r="C174" t="s">
        <v>560</v>
      </c>
      <c r="D174" t="s">
        <v>524</v>
      </c>
      <c r="E174" t="s">
        <v>63</v>
      </c>
      <c r="F174" t="s">
        <v>290</v>
      </c>
      <c r="G174" t="s">
        <v>809</v>
      </c>
      <c r="H174" t="s">
        <v>63</v>
      </c>
      <c r="I174" t="s">
        <v>42</v>
      </c>
      <c r="J174" t="s">
        <v>26</v>
      </c>
      <c r="K174" t="s">
        <v>27</v>
      </c>
      <c r="L174" t="s">
        <v>28</v>
      </c>
      <c r="M174" t="s">
        <v>93</v>
      </c>
      <c r="N174" t="s">
        <v>30</v>
      </c>
      <c r="O174" t="s">
        <v>31</v>
      </c>
      <c r="P174" t="s">
        <v>112</v>
      </c>
      <c r="Q174" t="s">
        <v>129</v>
      </c>
      <c r="R174" t="s">
        <v>293</v>
      </c>
      <c r="S174" t="s">
        <v>810</v>
      </c>
    </row>
    <row r="175" ht="55" customHeight="1" spans="1:19">
      <c r="A175" s="1" t="str">
        <f>_xlfn.DISPIMG("ID_40E525523766432DB051AB19D405A2C7",1)</f>
        <v>=DISPIMG("ID_40E525523766432DB051AB19D405A2C7",1)</v>
      </c>
      <c r="B175" t="s">
        <v>811</v>
      </c>
      <c r="C175" t="s">
        <v>219</v>
      </c>
      <c r="D175" t="s">
        <v>812</v>
      </c>
      <c r="E175" t="s">
        <v>39</v>
      </c>
      <c r="F175" t="s">
        <v>512</v>
      </c>
      <c r="G175" t="s">
        <v>280</v>
      </c>
      <c r="H175" t="s">
        <v>39</v>
      </c>
      <c r="I175" t="s">
        <v>25</v>
      </c>
      <c r="J175" t="s">
        <v>26</v>
      </c>
      <c r="K175" t="s">
        <v>27</v>
      </c>
      <c r="L175" t="s">
        <v>323</v>
      </c>
      <c r="M175" t="s">
        <v>513</v>
      </c>
      <c r="N175" t="s">
        <v>30</v>
      </c>
      <c r="O175" t="s">
        <v>31</v>
      </c>
      <c r="P175" t="s">
        <v>75</v>
      </c>
      <c r="Q175" t="s">
        <v>85</v>
      </c>
      <c r="R175" t="s">
        <v>813</v>
      </c>
      <c r="S175" t="s">
        <v>814</v>
      </c>
    </row>
    <row r="176" ht="55" customHeight="1" spans="1:19">
      <c r="A176" s="1" t="str">
        <f>_xlfn.DISPIMG("ID_1E5F52FB67204B56B3D5C81268410258",1)</f>
        <v>=DISPIMG("ID_1E5F52FB67204B56B3D5C81268410258",1)</v>
      </c>
      <c r="B176" t="s">
        <v>815</v>
      </c>
      <c r="C176" t="s">
        <v>560</v>
      </c>
      <c r="D176" t="s">
        <v>38</v>
      </c>
      <c r="E176" t="s">
        <v>39</v>
      </c>
      <c r="F176" t="s">
        <v>91</v>
      </c>
      <c r="G176" t="s">
        <v>467</v>
      </c>
      <c r="H176" t="s">
        <v>39</v>
      </c>
      <c r="I176" t="s">
        <v>175</v>
      </c>
      <c r="J176" t="s">
        <v>26</v>
      </c>
      <c r="K176" t="s">
        <v>27</v>
      </c>
      <c r="L176" t="s">
        <v>231</v>
      </c>
      <c r="M176" t="s">
        <v>93</v>
      </c>
      <c r="N176" t="s">
        <v>30</v>
      </c>
      <c r="O176" t="s">
        <v>31</v>
      </c>
      <c r="P176" t="s">
        <v>154</v>
      </c>
      <c r="Q176" t="s">
        <v>113</v>
      </c>
      <c r="R176" t="s">
        <v>816</v>
      </c>
      <c r="S176" t="s">
        <v>817</v>
      </c>
    </row>
    <row r="177" ht="55" customHeight="1" spans="1:19">
      <c r="A177" s="1" t="str">
        <f>_xlfn.DISPIMG("ID_56627642BDF548D2B261C9A378097E92",1)</f>
        <v>=DISPIMG("ID_56627642BDF548D2B261C9A378097E92",1)</v>
      </c>
      <c r="B177" t="s">
        <v>818</v>
      </c>
      <c r="C177" t="s">
        <v>819</v>
      </c>
      <c r="D177" t="s">
        <v>60</v>
      </c>
      <c r="E177" t="s">
        <v>61</v>
      </c>
      <c r="F177" t="s">
        <v>173</v>
      </c>
      <c r="G177" t="s">
        <v>312</v>
      </c>
      <c r="H177" t="s">
        <v>63</v>
      </c>
      <c r="I177" t="s">
        <v>175</v>
      </c>
      <c r="J177" t="s">
        <v>26</v>
      </c>
      <c r="K177" t="s">
        <v>27</v>
      </c>
      <c r="L177" t="s">
        <v>28</v>
      </c>
      <c r="M177" t="s">
        <v>93</v>
      </c>
      <c r="N177" t="s">
        <v>64</v>
      </c>
      <c r="O177" t="s">
        <v>31</v>
      </c>
      <c r="P177" t="s">
        <v>221</v>
      </c>
      <c r="Q177" t="s">
        <v>468</v>
      </c>
      <c r="R177" t="s">
        <v>820</v>
      </c>
      <c r="S177" t="s">
        <v>821</v>
      </c>
    </row>
    <row r="178" ht="55" customHeight="1" spans="1:19">
      <c r="A178" s="1" t="str">
        <f>_xlfn.DISPIMG("ID_F13A096CCB14487B971538FE1B2CC7F2",1)</f>
        <v>=DISPIMG("ID_F13A096CCB14487B971538FE1B2CC7F2",1)</v>
      </c>
      <c r="B178" t="s">
        <v>822</v>
      </c>
      <c r="C178" t="s">
        <v>823</v>
      </c>
      <c r="D178" t="s">
        <v>356</v>
      </c>
      <c r="E178" t="s">
        <v>50</v>
      </c>
      <c r="F178" t="s">
        <v>212</v>
      </c>
      <c r="G178" t="s">
        <v>345</v>
      </c>
      <c r="H178" t="s">
        <v>50</v>
      </c>
      <c r="I178" t="s">
        <v>189</v>
      </c>
      <c r="J178" t="s">
        <v>26</v>
      </c>
      <c r="K178" t="s">
        <v>27</v>
      </c>
      <c r="L178" t="s">
        <v>624</v>
      </c>
      <c r="M178" t="s">
        <v>93</v>
      </c>
      <c r="N178" t="s">
        <v>30</v>
      </c>
      <c r="O178" t="s">
        <v>31</v>
      </c>
      <c r="P178" t="s">
        <v>128</v>
      </c>
      <c r="Q178" t="s">
        <v>190</v>
      </c>
      <c r="R178" t="s">
        <v>824</v>
      </c>
      <c r="S178" t="s">
        <v>825</v>
      </c>
    </row>
    <row r="179" ht="55" customHeight="1" spans="1:19">
      <c r="A179" s="1" t="str">
        <f>_xlfn.DISPIMG("ID_3D9A1D3163814495A353C184A2B054FA",1)</f>
        <v>=DISPIMG("ID_3D9A1D3163814495A353C184A2B054FA",1)</v>
      </c>
      <c r="B179" t="s">
        <v>236</v>
      </c>
      <c r="C179" t="s">
        <v>826</v>
      </c>
      <c r="D179" t="s">
        <v>379</v>
      </c>
      <c r="E179" t="s">
        <v>119</v>
      </c>
      <c r="F179" t="s">
        <v>51</v>
      </c>
      <c r="G179" t="s">
        <v>24</v>
      </c>
      <c r="H179" t="s">
        <v>119</v>
      </c>
      <c r="I179" t="s">
        <v>42</v>
      </c>
      <c r="J179" t="s">
        <v>26</v>
      </c>
      <c r="K179" t="s">
        <v>27</v>
      </c>
      <c r="L179" t="s">
        <v>28</v>
      </c>
      <c r="M179" t="s">
        <v>29</v>
      </c>
      <c r="N179" t="s">
        <v>30</v>
      </c>
      <c r="O179" t="s">
        <v>31</v>
      </c>
      <c r="P179" t="s">
        <v>154</v>
      </c>
      <c r="Q179" t="s">
        <v>352</v>
      </c>
      <c r="R179" t="s">
        <v>104</v>
      </c>
      <c r="S179" t="s">
        <v>827</v>
      </c>
    </row>
    <row r="180" ht="55" customHeight="1" spans="1:19">
      <c r="A180" s="1" t="str">
        <f>_xlfn.DISPIMG("ID_844BADB63B714B6FA5176230D4963D13",1)</f>
        <v>=DISPIMG("ID_844BADB63B714B6FA5176230D4963D13",1)</v>
      </c>
      <c r="B180" t="s">
        <v>439</v>
      </c>
      <c r="C180" t="s">
        <v>422</v>
      </c>
      <c r="D180" t="s">
        <v>681</v>
      </c>
      <c r="E180" t="s">
        <v>82</v>
      </c>
      <c r="F180" t="s">
        <v>91</v>
      </c>
      <c r="G180" t="s">
        <v>101</v>
      </c>
      <c r="H180" t="s">
        <v>84</v>
      </c>
      <c r="I180" t="s">
        <v>137</v>
      </c>
      <c r="J180" t="s">
        <v>26</v>
      </c>
      <c r="K180" t="s">
        <v>27</v>
      </c>
      <c r="L180" t="s">
        <v>28</v>
      </c>
      <c r="M180" t="s">
        <v>93</v>
      </c>
      <c r="N180" t="s">
        <v>30</v>
      </c>
      <c r="O180" t="s">
        <v>31</v>
      </c>
      <c r="P180" t="s">
        <v>65</v>
      </c>
      <c r="Q180" t="s">
        <v>76</v>
      </c>
      <c r="R180" t="s">
        <v>191</v>
      </c>
      <c r="S180" t="s">
        <v>828</v>
      </c>
    </row>
    <row r="181" ht="55" customHeight="1" spans="1:19">
      <c r="A181" s="1" t="str">
        <f>_xlfn.DISPIMG("ID_210C8CF67CE348DCB3E8649C5DCB4367",1)</f>
        <v>=DISPIMG("ID_210C8CF67CE348DCB3E8649C5DCB4367",1)</v>
      </c>
      <c r="B181" t="s">
        <v>829</v>
      </c>
      <c r="C181" t="s">
        <v>564</v>
      </c>
      <c r="D181" t="s">
        <v>830</v>
      </c>
      <c r="E181" t="s">
        <v>316</v>
      </c>
      <c r="F181" t="s">
        <v>40</v>
      </c>
      <c r="G181" t="s">
        <v>831</v>
      </c>
      <c r="H181" t="s">
        <v>144</v>
      </c>
      <c r="I181" t="s">
        <v>42</v>
      </c>
      <c r="J181" t="s">
        <v>26</v>
      </c>
      <c r="K181" t="s">
        <v>27</v>
      </c>
      <c r="L181" t="s">
        <v>28</v>
      </c>
      <c r="M181" t="s">
        <v>29</v>
      </c>
      <c r="N181" t="s">
        <v>30</v>
      </c>
      <c r="O181" t="s">
        <v>31</v>
      </c>
      <c r="P181" t="s">
        <v>146</v>
      </c>
      <c r="Q181" t="s">
        <v>55</v>
      </c>
      <c r="R181" t="s">
        <v>832</v>
      </c>
      <c r="S181" t="s">
        <v>833</v>
      </c>
    </row>
    <row r="182" ht="55" customHeight="1" spans="1:19">
      <c r="A182" s="1" t="str">
        <f>_xlfn.DISPIMG("ID_258871A440E544CD8256270E825D26E8",1)</f>
        <v>=DISPIMG("ID_258871A440E544CD8256270E825D26E8",1)</v>
      </c>
      <c r="B182" t="s">
        <v>158</v>
      </c>
      <c r="C182" t="s">
        <v>834</v>
      </c>
      <c r="D182" t="s">
        <v>506</v>
      </c>
      <c r="E182" t="s">
        <v>507</v>
      </c>
      <c r="F182" t="s">
        <v>162</v>
      </c>
      <c r="G182" t="s">
        <v>835</v>
      </c>
      <c r="H182" t="s">
        <v>135</v>
      </c>
      <c r="I182" t="s">
        <v>165</v>
      </c>
      <c r="J182" t="s">
        <v>26</v>
      </c>
      <c r="K182" t="s">
        <v>27</v>
      </c>
      <c r="L182" t="s">
        <v>28</v>
      </c>
      <c r="M182" t="s">
        <v>166</v>
      </c>
      <c r="N182" t="s">
        <v>30</v>
      </c>
      <c r="O182" t="s">
        <v>31</v>
      </c>
      <c r="P182" t="s">
        <v>463</v>
      </c>
      <c r="Q182" t="s">
        <v>66</v>
      </c>
      <c r="R182" t="s">
        <v>168</v>
      </c>
      <c r="S182" t="s">
        <v>836</v>
      </c>
    </row>
    <row r="183" ht="55" customHeight="1" spans="1:19">
      <c r="A183" s="1" t="str">
        <f>_xlfn.DISPIMG("ID_DF64DF7E82754F9BA83F8747CA3D9306",1)</f>
        <v>=DISPIMG("ID_DF64DF7E82754F9BA83F8747CA3D9306",1)</v>
      </c>
      <c r="B183" t="s">
        <v>132</v>
      </c>
      <c r="C183" t="s">
        <v>837</v>
      </c>
      <c r="D183" t="s">
        <v>253</v>
      </c>
      <c r="E183" t="s">
        <v>161</v>
      </c>
      <c r="F183" t="s">
        <v>91</v>
      </c>
      <c r="G183" t="s">
        <v>41</v>
      </c>
      <c r="H183" t="s">
        <v>164</v>
      </c>
      <c r="I183" t="s">
        <v>137</v>
      </c>
      <c r="J183" t="s">
        <v>26</v>
      </c>
      <c r="K183" t="s">
        <v>27</v>
      </c>
      <c r="L183" t="s">
        <v>28</v>
      </c>
      <c r="M183" t="s">
        <v>93</v>
      </c>
      <c r="N183" t="s">
        <v>30</v>
      </c>
      <c r="O183" t="s">
        <v>31</v>
      </c>
      <c r="P183" t="s">
        <v>112</v>
      </c>
      <c r="Q183" t="s">
        <v>76</v>
      </c>
      <c r="R183" t="s">
        <v>139</v>
      </c>
      <c r="S183" t="s">
        <v>838</v>
      </c>
    </row>
    <row r="184" ht="55" customHeight="1" spans="1:19">
      <c r="A184" s="1" t="str">
        <f>_xlfn.DISPIMG("ID_F0606217CEB5410FAFE9C4F8D127315C",1)</f>
        <v>=DISPIMG("ID_F0606217CEB5410FAFE9C4F8D127315C",1)</v>
      </c>
      <c r="B184" t="s">
        <v>116</v>
      </c>
      <c r="C184" t="s">
        <v>839</v>
      </c>
      <c r="D184" t="s">
        <v>38</v>
      </c>
      <c r="E184" t="s">
        <v>731</v>
      </c>
      <c r="F184" t="s">
        <v>40</v>
      </c>
      <c r="G184" t="s">
        <v>296</v>
      </c>
      <c r="H184" t="s">
        <v>22</v>
      </c>
      <c r="I184" t="s">
        <v>42</v>
      </c>
      <c r="J184" t="s">
        <v>26</v>
      </c>
      <c r="K184" t="s">
        <v>27</v>
      </c>
      <c r="L184" t="s">
        <v>53</v>
      </c>
      <c r="M184" t="s">
        <v>29</v>
      </c>
      <c r="N184" t="s">
        <v>64</v>
      </c>
      <c r="O184" t="s">
        <v>31</v>
      </c>
      <c r="P184" t="s">
        <v>146</v>
      </c>
      <c r="Q184" t="s">
        <v>612</v>
      </c>
      <c r="R184" t="s">
        <v>147</v>
      </c>
      <c r="S184" t="s">
        <v>840</v>
      </c>
    </row>
    <row r="185" ht="55" customHeight="1" spans="1:19">
      <c r="A185" s="1" t="str">
        <f>_xlfn.DISPIMG("ID_522FFED8AF1044D584CFF8BDF5B83570",1)</f>
        <v>=DISPIMG("ID_522FFED8AF1044D584CFF8BDF5B83570",1)</v>
      </c>
      <c r="B185" t="s">
        <v>458</v>
      </c>
      <c r="C185" t="s">
        <v>362</v>
      </c>
      <c r="D185" t="s">
        <v>60</v>
      </c>
      <c r="E185" t="s">
        <v>238</v>
      </c>
      <c r="F185" t="s">
        <v>173</v>
      </c>
      <c r="G185" t="s">
        <v>627</v>
      </c>
      <c r="H185" t="s">
        <v>238</v>
      </c>
      <c r="I185" t="s">
        <v>175</v>
      </c>
      <c r="J185" t="s">
        <v>26</v>
      </c>
      <c r="K185" t="s">
        <v>27</v>
      </c>
      <c r="L185" t="s">
        <v>329</v>
      </c>
      <c r="M185" t="s">
        <v>93</v>
      </c>
      <c r="N185" t="s">
        <v>64</v>
      </c>
      <c r="O185" t="s">
        <v>31</v>
      </c>
      <c r="P185" t="s">
        <v>274</v>
      </c>
      <c r="Q185" t="s">
        <v>514</v>
      </c>
      <c r="R185" t="s">
        <v>147</v>
      </c>
      <c r="S185" t="s">
        <v>841</v>
      </c>
    </row>
    <row r="186" ht="55" customHeight="1" spans="1:19">
      <c r="A186" s="1" t="str">
        <f>_xlfn.DISPIMG("ID_DA8EFD2EC1CC4DFF9734EF9F955AAB56",1)</f>
        <v>=DISPIMG("ID_DA8EFD2EC1CC4DFF9734EF9F955AAB56",1)</v>
      </c>
      <c r="B186" t="s">
        <v>282</v>
      </c>
      <c r="C186" t="s">
        <v>842</v>
      </c>
      <c r="D186" t="s">
        <v>577</v>
      </c>
      <c r="E186" t="s">
        <v>311</v>
      </c>
      <c r="F186" t="s">
        <v>40</v>
      </c>
      <c r="G186" t="s">
        <v>638</v>
      </c>
      <c r="H186" t="s">
        <v>39</v>
      </c>
      <c r="I186" t="s">
        <v>42</v>
      </c>
      <c r="J186" t="s">
        <v>26</v>
      </c>
      <c r="K186" t="s">
        <v>27</v>
      </c>
      <c r="L186" t="s">
        <v>28</v>
      </c>
      <c r="M186" t="s">
        <v>29</v>
      </c>
      <c r="N186" t="s">
        <v>64</v>
      </c>
      <c r="O186" t="s">
        <v>31</v>
      </c>
      <c r="P186" t="s">
        <v>75</v>
      </c>
      <c r="Q186" t="s">
        <v>843</v>
      </c>
      <c r="R186" t="s">
        <v>45</v>
      </c>
      <c r="S186" t="s">
        <v>844</v>
      </c>
    </row>
    <row r="187" ht="55" customHeight="1" spans="1:19">
      <c r="A187" s="1" t="str">
        <f>_xlfn.DISPIMG("ID_F4F8EAA19D6244689701E954171EDE81",1)</f>
        <v>=DISPIMG("ID_F4F8EAA19D6244689701E954171EDE81",1)</v>
      </c>
      <c r="B187" t="s">
        <v>251</v>
      </c>
      <c r="C187" t="s">
        <v>845</v>
      </c>
      <c r="D187" t="s">
        <v>71</v>
      </c>
      <c r="E187" t="s">
        <v>72</v>
      </c>
      <c r="F187" t="s">
        <v>40</v>
      </c>
      <c r="G187" t="s">
        <v>312</v>
      </c>
      <c r="H187" t="s">
        <v>197</v>
      </c>
      <c r="I187" t="s">
        <v>42</v>
      </c>
      <c r="J187" t="s">
        <v>26</v>
      </c>
      <c r="K187" t="s">
        <v>27</v>
      </c>
      <c r="L187" t="s">
        <v>74</v>
      </c>
      <c r="M187" t="s">
        <v>29</v>
      </c>
      <c r="N187" t="s">
        <v>30</v>
      </c>
      <c r="O187" t="s">
        <v>31</v>
      </c>
      <c r="P187" t="s">
        <v>846</v>
      </c>
      <c r="Q187" t="s">
        <v>847</v>
      </c>
      <c r="R187" t="s">
        <v>114</v>
      </c>
      <c r="S187" t="s">
        <v>848</v>
      </c>
    </row>
    <row r="188" ht="55" customHeight="1" spans="1:19">
      <c r="A188" s="1" t="str">
        <f>_xlfn.DISPIMG("ID_0C51C7B198DD47E0B4A87EBB25FAF0EC",1)</f>
        <v>=DISPIMG("ID_0C51C7B198DD47E0B4A87EBB25FAF0EC",1)</v>
      </c>
      <c r="B188" t="s">
        <v>320</v>
      </c>
      <c r="C188" t="s">
        <v>344</v>
      </c>
      <c r="D188" t="s">
        <v>49</v>
      </c>
      <c r="E188" t="s">
        <v>357</v>
      </c>
      <c r="F188" t="s">
        <v>173</v>
      </c>
      <c r="G188" t="s">
        <v>229</v>
      </c>
      <c r="H188" t="s">
        <v>739</v>
      </c>
      <c r="I188" t="s">
        <v>175</v>
      </c>
      <c r="J188" t="s">
        <v>26</v>
      </c>
      <c r="K188" t="s">
        <v>27</v>
      </c>
      <c r="L188" t="s">
        <v>28</v>
      </c>
      <c r="M188" t="s">
        <v>93</v>
      </c>
      <c r="N188" t="s">
        <v>64</v>
      </c>
      <c r="O188" t="s">
        <v>31</v>
      </c>
      <c r="P188" t="s">
        <v>54</v>
      </c>
      <c r="Q188" t="s">
        <v>849</v>
      </c>
      <c r="R188" t="s">
        <v>147</v>
      </c>
      <c r="S188" t="s">
        <v>850</v>
      </c>
    </row>
    <row r="189" ht="55" customHeight="1" spans="1:19">
      <c r="A189" s="1" t="str">
        <f>_xlfn.DISPIMG("ID_2BBC9395632D450C9CF3AAB9039F84CE",1)</f>
        <v>=DISPIMG("ID_2BBC9395632D450C9CF3AAB9039F84CE",1)</v>
      </c>
      <c r="B189" t="s">
        <v>366</v>
      </c>
      <c r="C189" t="s">
        <v>851</v>
      </c>
      <c r="D189" t="s">
        <v>244</v>
      </c>
      <c r="E189" t="s">
        <v>164</v>
      </c>
      <c r="F189" t="s">
        <v>245</v>
      </c>
      <c r="G189" t="s">
        <v>246</v>
      </c>
      <c r="H189" t="s">
        <v>164</v>
      </c>
      <c r="I189" t="s">
        <v>165</v>
      </c>
      <c r="J189" t="s">
        <v>26</v>
      </c>
      <c r="K189" t="s">
        <v>27</v>
      </c>
      <c r="L189" t="s">
        <v>557</v>
      </c>
      <c r="M189" t="s">
        <v>93</v>
      </c>
      <c r="N189" t="s">
        <v>30</v>
      </c>
      <c r="O189" t="s">
        <v>31</v>
      </c>
      <c r="P189" t="s">
        <v>733</v>
      </c>
      <c r="Q189" t="s">
        <v>76</v>
      </c>
      <c r="R189" t="s">
        <v>370</v>
      </c>
      <c r="S189" t="s">
        <v>852</v>
      </c>
    </row>
    <row r="190" ht="55" customHeight="1" spans="1:19">
      <c r="A190" s="1" t="str">
        <f>_xlfn.DISPIMG("ID_21B7C38A33BF4BCA89352248DE7B1E6C",1)</f>
        <v>=DISPIMG("ID_21B7C38A33BF4BCA89352248DE7B1E6C",1)</v>
      </c>
      <c r="B190" t="s">
        <v>257</v>
      </c>
      <c r="C190" t="s">
        <v>819</v>
      </c>
      <c r="D190" t="s">
        <v>460</v>
      </c>
      <c r="E190" t="s">
        <v>84</v>
      </c>
      <c r="F190" t="s">
        <v>51</v>
      </c>
      <c r="G190" t="s">
        <v>101</v>
      </c>
      <c r="H190" t="s">
        <v>84</v>
      </c>
      <c r="I190" t="s">
        <v>25</v>
      </c>
      <c r="J190" t="s">
        <v>26</v>
      </c>
      <c r="K190" t="s">
        <v>27</v>
      </c>
      <c r="L190" t="s">
        <v>28</v>
      </c>
      <c r="M190" t="s">
        <v>29</v>
      </c>
      <c r="N190" t="s">
        <v>30</v>
      </c>
      <c r="O190" t="s">
        <v>31</v>
      </c>
      <c r="P190" t="s">
        <v>491</v>
      </c>
      <c r="Q190" t="s">
        <v>76</v>
      </c>
      <c r="R190" t="s">
        <v>263</v>
      </c>
      <c r="S190" t="s">
        <v>853</v>
      </c>
    </row>
    <row r="191" ht="55" customHeight="1" spans="1:19">
      <c r="A191" s="1" t="str">
        <f>_xlfn.DISPIMG("ID_5F20999364534AC68EE39BA4F0865E9C",1)</f>
        <v>=DISPIMG("ID_5F20999364534AC68EE39BA4F0865E9C",1)</v>
      </c>
      <c r="B191" t="s">
        <v>854</v>
      </c>
      <c r="C191" t="s">
        <v>855</v>
      </c>
      <c r="D191" t="s">
        <v>435</v>
      </c>
      <c r="E191" t="s">
        <v>518</v>
      </c>
      <c r="F191" t="s">
        <v>40</v>
      </c>
      <c r="G191" t="s">
        <v>856</v>
      </c>
      <c r="H191" t="s">
        <v>72</v>
      </c>
      <c r="I191" t="s">
        <v>25</v>
      </c>
      <c r="J191" t="s">
        <v>26</v>
      </c>
      <c r="K191" t="s">
        <v>27</v>
      </c>
      <c r="L191" t="s">
        <v>74</v>
      </c>
      <c r="M191" t="s">
        <v>29</v>
      </c>
      <c r="N191" t="s">
        <v>30</v>
      </c>
      <c r="O191" t="s">
        <v>31</v>
      </c>
      <c r="P191" t="s">
        <v>857</v>
      </c>
      <c r="Q191" t="s">
        <v>858</v>
      </c>
      <c r="R191" t="s">
        <v>147</v>
      </c>
      <c r="S191" t="s">
        <v>859</v>
      </c>
    </row>
    <row r="192" ht="55" customHeight="1" spans="1:19">
      <c r="A192" s="1" t="str">
        <f>_xlfn.DISPIMG("ID_436B61BE0172426586860DF5BA278A56",1)</f>
        <v>=DISPIMG("ID_436B61BE0172426586860DF5BA278A56",1)</v>
      </c>
      <c r="B192" t="s">
        <v>320</v>
      </c>
      <c r="C192" t="s">
        <v>834</v>
      </c>
      <c r="D192" t="s">
        <v>49</v>
      </c>
      <c r="E192" t="s">
        <v>50</v>
      </c>
      <c r="F192" t="s">
        <v>173</v>
      </c>
      <c r="G192" t="s">
        <v>174</v>
      </c>
      <c r="H192" t="s">
        <v>50</v>
      </c>
      <c r="I192" t="s">
        <v>175</v>
      </c>
      <c r="J192" t="s">
        <v>26</v>
      </c>
      <c r="K192" t="s">
        <v>27</v>
      </c>
      <c r="L192" t="s">
        <v>28</v>
      </c>
      <c r="M192" t="s">
        <v>93</v>
      </c>
      <c r="N192" t="s">
        <v>30</v>
      </c>
      <c r="O192" t="s">
        <v>31</v>
      </c>
      <c r="P192" t="s">
        <v>301</v>
      </c>
      <c r="Q192" t="s">
        <v>269</v>
      </c>
      <c r="R192" t="s">
        <v>324</v>
      </c>
      <c r="S192" t="s">
        <v>860</v>
      </c>
    </row>
    <row r="193" ht="55" customHeight="1" spans="1:19">
      <c r="A193" s="1" t="str">
        <f>_xlfn.DISPIMG("ID_23F3CA75BEE742EB98E1C2E800CAAD6D",1)</f>
        <v>=DISPIMG("ID_23F3CA75BEE742EB98E1C2E800CAAD6D",1)</v>
      </c>
      <c r="B193" t="s">
        <v>132</v>
      </c>
      <c r="C193" t="s">
        <v>266</v>
      </c>
      <c r="D193" t="s">
        <v>572</v>
      </c>
      <c r="E193" t="s">
        <v>573</v>
      </c>
      <c r="F193" t="s">
        <v>91</v>
      </c>
      <c r="G193" t="s">
        <v>431</v>
      </c>
      <c r="H193" t="s">
        <v>211</v>
      </c>
      <c r="I193" t="s">
        <v>137</v>
      </c>
      <c r="J193" t="s">
        <v>26</v>
      </c>
      <c r="K193" t="s">
        <v>27</v>
      </c>
      <c r="L193" t="s">
        <v>329</v>
      </c>
      <c r="M193" t="s">
        <v>93</v>
      </c>
      <c r="N193" t="s">
        <v>30</v>
      </c>
      <c r="O193" t="s">
        <v>31</v>
      </c>
      <c r="P193" t="s">
        <v>54</v>
      </c>
      <c r="Q193" t="s">
        <v>76</v>
      </c>
      <c r="R193" t="s">
        <v>139</v>
      </c>
      <c r="S193" t="s">
        <v>861</v>
      </c>
    </row>
    <row r="194" ht="55" customHeight="1" spans="1:19">
      <c r="A194" s="1" t="str">
        <f>_xlfn.DISPIMG("ID_45EE3D69C50743FC99CB265C879F1991",1)</f>
        <v>=DISPIMG("ID_45EE3D69C50743FC99CB265C879F1991",1)</v>
      </c>
      <c r="B194" t="s">
        <v>257</v>
      </c>
      <c r="C194" t="s">
        <v>862</v>
      </c>
      <c r="D194" t="s">
        <v>785</v>
      </c>
      <c r="E194" t="s">
        <v>135</v>
      </c>
      <c r="F194" t="s">
        <v>51</v>
      </c>
      <c r="G194" t="s">
        <v>670</v>
      </c>
      <c r="H194" t="s">
        <v>135</v>
      </c>
      <c r="I194" t="s">
        <v>25</v>
      </c>
      <c r="J194" t="s">
        <v>26</v>
      </c>
      <c r="K194" t="s">
        <v>27</v>
      </c>
      <c r="L194" t="s">
        <v>74</v>
      </c>
      <c r="M194" t="s">
        <v>29</v>
      </c>
      <c r="N194" t="s">
        <v>30</v>
      </c>
      <c r="O194" t="s">
        <v>31</v>
      </c>
      <c r="P194" t="s">
        <v>75</v>
      </c>
      <c r="Q194" t="s">
        <v>55</v>
      </c>
      <c r="R194" t="s">
        <v>263</v>
      </c>
      <c r="S194" t="s">
        <v>863</v>
      </c>
    </row>
    <row r="195" ht="55" customHeight="1" spans="1:19">
      <c r="A195" s="1" t="str">
        <f>_xlfn.DISPIMG("ID_FBC4606B3B0D4DA6A65615F95240BE2E",1)</f>
        <v>=DISPIMG("ID_FBC4606B3B0D4DA6A65615F95240BE2E",1)</v>
      </c>
      <c r="B195" t="s">
        <v>251</v>
      </c>
      <c r="C195" t="s">
        <v>864</v>
      </c>
      <c r="D195" t="s">
        <v>865</v>
      </c>
      <c r="E195" t="s">
        <v>204</v>
      </c>
      <c r="F195" t="s">
        <v>40</v>
      </c>
      <c r="G195" t="s">
        <v>617</v>
      </c>
      <c r="H195" t="s">
        <v>72</v>
      </c>
      <c r="I195" t="s">
        <v>42</v>
      </c>
      <c r="J195" t="s">
        <v>26</v>
      </c>
      <c r="K195" t="s">
        <v>27</v>
      </c>
      <c r="L195" t="s">
        <v>74</v>
      </c>
      <c r="M195" t="s">
        <v>29</v>
      </c>
      <c r="N195" t="s">
        <v>30</v>
      </c>
      <c r="O195" t="s">
        <v>31</v>
      </c>
      <c r="P195" t="s">
        <v>75</v>
      </c>
      <c r="Q195" t="s">
        <v>66</v>
      </c>
      <c r="R195" t="s">
        <v>114</v>
      </c>
      <c r="S195" t="s">
        <v>866</v>
      </c>
    </row>
    <row r="196" ht="55" customHeight="1" spans="1:19">
      <c r="A196" s="1" t="str">
        <f>_xlfn.DISPIMG("ID_6B704C4E7B514071904F8882A3D1D678",1)</f>
        <v>=DISPIMG("ID_6B704C4E7B514071904F8882A3D1D678",1)</v>
      </c>
      <c r="B196" t="s">
        <v>257</v>
      </c>
      <c r="C196" t="s">
        <v>867</v>
      </c>
      <c r="D196" t="s">
        <v>448</v>
      </c>
      <c r="E196" t="s">
        <v>72</v>
      </c>
      <c r="F196" t="s">
        <v>51</v>
      </c>
      <c r="G196" t="s">
        <v>670</v>
      </c>
      <c r="H196" t="s">
        <v>72</v>
      </c>
      <c r="I196" t="s">
        <v>25</v>
      </c>
      <c r="J196" t="s">
        <v>26</v>
      </c>
      <c r="K196" t="s">
        <v>27</v>
      </c>
      <c r="L196" t="s">
        <v>28</v>
      </c>
      <c r="M196" t="s">
        <v>29</v>
      </c>
      <c r="N196" t="s">
        <v>64</v>
      </c>
      <c r="O196" t="s">
        <v>31</v>
      </c>
      <c r="P196" t="s">
        <v>221</v>
      </c>
      <c r="Q196" t="s">
        <v>868</v>
      </c>
      <c r="R196" t="s">
        <v>263</v>
      </c>
      <c r="S196" t="s">
        <v>869</v>
      </c>
    </row>
    <row r="197" ht="55" customHeight="1" spans="1:19">
      <c r="A197" s="1" t="str">
        <f>_xlfn.DISPIMG("ID_CD03B757884C421F9E57D56EE15E18E2",1)</f>
        <v>=DISPIMG("ID_CD03B757884C421F9E57D56EE15E18E2",1)</v>
      </c>
      <c r="B197" t="s">
        <v>366</v>
      </c>
      <c r="C197" t="s">
        <v>643</v>
      </c>
      <c r="D197" t="s">
        <v>466</v>
      </c>
      <c r="E197" t="s">
        <v>357</v>
      </c>
      <c r="F197" t="s">
        <v>245</v>
      </c>
      <c r="G197" t="s">
        <v>300</v>
      </c>
      <c r="H197" t="s">
        <v>357</v>
      </c>
      <c r="I197" t="s">
        <v>165</v>
      </c>
      <c r="J197" t="s">
        <v>26</v>
      </c>
      <c r="K197" t="s">
        <v>27</v>
      </c>
      <c r="L197" t="s">
        <v>28</v>
      </c>
      <c r="M197" t="s">
        <v>93</v>
      </c>
      <c r="N197" t="s">
        <v>30</v>
      </c>
      <c r="O197" t="s">
        <v>31</v>
      </c>
      <c r="P197" t="s">
        <v>154</v>
      </c>
      <c r="Q197" t="s">
        <v>297</v>
      </c>
      <c r="R197" t="s">
        <v>370</v>
      </c>
      <c r="S197" t="s">
        <v>870</v>
      </c>
    </row>
    <row r="198" ht="55" customHeight="1" spans="1:19">
      <c r="A198" s="1" t="str">
        <f>_xlfn.DISPIMG("ID_DABC7FECEDB743D9BFE2A1B71051393E",1)</f>
        <v>=DISPIMG("ID_DABC7FECEDB743D9BFE2A1B71051393E",1)</v>
      </c>
      <c r="B198" t="s">
        <v>116</v>
      </c>
      <c r="C198" t="s">
        <v>411</v>
      </c>
      <c r="D198" t="s">
        <v>483</v>
      </c>
      <c r="E198" t="s">
        <v>328</v>
      </c>
      <c r="F198" t="s">
        <v>40</v>
      </c>
      <c r="G198" t="s">
        <v>724</v>
      </c>
      <c r="H198" t="s">
        <v>119</v>
      </c>
      <c r="I198" t="s">
        <v>42</v>
      </c>
      <c r="J198" t="s">
        <v>26</v>
      </c>
      <c r="K198" t="s">
        <v>27</v>
      </c>
      <c r="L198" t="s">
        <v>53</v>
      </c>
      <c r="M198" t="s">
        <v>29</v>
      </c>
      <c r="N198" t="s">
        <v>30</v>
      </c>
      <c r="O198" t="s">
        <v>31</v>
      </c>
      <c r="P198" t="s">
        <v>871</v>
      </c>
      <c r="Q198" t="s">
        <v>183</v>
      </c>
      <c r="R198" t="s">
        <v>45</v>
      </c>
      <c r="S198" t="s">
        <v>872</v>
      </c>
    </row>
    <row r="199" ht="55" customHeight="1" spans="1:19">
      <c r="A199" s="1" t="str">
        <f>_xlfn.DISPIMG("ID_5766320777B9442484AA992A4CDF19B6",1)</f>
        <v>=DISPIMG("ID_5766320777B9442484AA992A4CDF19B6",1)</v>
      </c>
      <c r="B199" t="s">
        <v>257</v>
      </c>
      <c r="C199" t="s">
        <v>873</v>
      </c>
      <c r="D199" t="s">
        <v>442</v>
      </c>
      <c r="E199" t="s">
        <v>874</v>
      </c>
      <c r="F199" t="s">
        <v>51</v>
      </c>
      <c r="G199" t="s">
        <v>875</v>
      </c>
      <c r="H199" t="s">
        <v>461</v>
      </c>
      <c r="I199" t="s">
        <v>25</v>
      </c>
      <c r="J199" t="s">
        <v>26</v>
      </c>
      <c r="K199" t="s">
        <v>27</v>
      </c>
      <c r="L199" t="s">
        <v>28</v>
      </c>
      <c r="M199" t="s">
        <v>29</v>
      </c>
      <c r="N199" t="s">
        <v>30</v>
      </c>
      <c r="O199" t="s">
        <v>31</v>
      </c>
      <c r="P199" t="s">
        <v>65</v>
      </c>
      <c r="Q199" t="s">
        <v>297</v>
      </c>
      <c r="R199" t="s">
        <v>263</v>
      </c>
      <c r="S199" t="s">
        <v>876</v>
      </c>
    </row>
    <row r="200" ht="55" customHeight="1" spans="1:19">
      <c r="A200" s="1" t="str">
        <f>_xlfn.DISPIMG("ID_18C1997E74254693B0EFADE230A212FD",1)</f>
        <v>=DISPIMG("ID_18C1997E74254693B0EFADE230A212FD",1)</v>
      </c>
      <c r="B200" t="s">
        <v>877</v>
      </c>
      <c r="C200" t="s">
        <v>654</v>
      </c>
      <c r="D200" t="s">
        <v>356</v>
      </c>
      <c r="E200" t="s">
        <v>50</v>
      </c>
      <c r="F200" t="s">
        <v>878</v>
      </c>
      <c r="G200" t="s">
        <v>41</v>
      </c>
      <c r="H200" t="s">
        <v>50</v>
      </c>
      <c r="I200" t="s">
        <v>189</v>
      </c>
      <c r="J200" t="s">
        <v>26</v>
      </c>
      <c r="K200" t="s">
        <v>27</v>
      </c>
      <c r="L200" t="s">
        <v>28</v>
      </c>
      <c r="M200" t="s">
        <v>93</v>
      </c>
      <c r="N200" t="s">
        <v>30</v>
      </c>
      <c r="O200" t="s">
        <v>31</v>
      </c>
      <c r="P200" t="s">
        <v>65</v>
      </c>
      <c r="Q200" t="s">
        <v>879</v>
      </c>
      <c r="R200" t="s">
        <v>880</v>
      </c>
      <c r="S200" t="s">
        <v>881</v>
      </c>
    </row>
    <row r="201" ht="55" customHeight="1" spans="1:19">
      <c r="A201" s="1" t="str">
        <f>_xlfn.DISPIMG("ID_FAB9882BB9D34DBDA636C435B42F203F",1)</f>
        <v>=DISPIMG("ID_FAB9882BB9D34DBDA636C435B42F203F",1)</v>
      </c>
      <c r="B201" t="s">
        <v>338</v>
      </c>
      <c r="C201" t="s">
        <v>715</v>
      </c>
      <c r="D201" t="s">
        <v>188</v>
      </c>
      <c r="E201" t="s">
        <v>144</v>
      </c>
      <c r="F201" t="s">
        <v>91</v>
      </c>
      <c r="G201" t="s">
        <v>363</v>
      </c>
      <c r="H201" t="s">
        <v>144</v>
      </c>
      <c r="I201" t="s">
        <v>25</v>
      </c>
      <c r="J201" t="s">
        <v>26</v>
      </c>
      <c r="K201" t="s">
        <v>27</v>
      </c>
      <c r="L201" t="s">
        <v>28</v>
      </c>
      <c r="M201" t="s">
        <v>93</v>
      </c>
      <c r="N201" t="s">
        <v>30</v>
      </c>
      <c r="O201" t="s">
        <v>31</v>
      </c>
      <c r="P201" t="s">
        <v>473</v>
      </c>
      <c r="Q201" t="s">
        <v>76</v>
      </c>
      <c r="R201" t="s">
        <v>191</v>
      </c>
      <c r="S201" t="s">
        <v>882</v>
      </c>
    </row>
    <row r="202" ht="55" customHeight="1" spans="1:19">
      <c r="A202" s="1" t="str">
        <f>_xlfn.DISPIMG("ID_4B4A1770C4DF4E9EB044850250971A8C",1)</f>
        <v>=DISPIMG("ID_4B4A1770C4DF4E9EB044850250971A8C",1)</v>
      </c>
      <c r="B202" t="s">
        <v>883</v>
      </c>
      <c r="C202" t="s">
        <v>654</v>
      </c>
      <c r="D202" t="s">
        <v>304</v>
      </c>
      <c r="E202" t="s">
        <v>305</v>
      </c>
      <c r="F202" t="s">
        <v>91</v>
      </c>
      <c r="G202" t="s">
        <v>41</v>
      </c>
      <c r="H202" t="s">
        <v>50</v>
      </c>
      <c r="I202" t="s">
        <v>175</v>
      </c>
      <c r="J202" t="s">
        <v>230</v>
      </c>
      <c r="K202" t="s">
        <v>27</v>
      </c>
      <c r="L202" t="s">
        <v>28</v>
      </c>
      <c r="M202" t="s">
        <v>93</v>
      </c>
      <c r="N202" t="s">
        <v>30</v>
      </c>
      <c r="O202" t="s">
        <v>31</v>
      </c>
      <c r="P202" t="s">
        <v>247</v>
      </c>
      <c r="Q202" t="s">
        <v>884</v>
      </c>
      <c r="R202" t="s">
        <v>885</v>
      </c>
      <c r="S202" t="s">
        <v>886</v>
      </c>
    </row>
    <row r="203" ht="55" customHeight="1" spans="1:19">
      <c r="A203" s="1" t="str">
        <f>_xlfn.DISPIMG("ID_B479601268784D58892CB9878A418C82",1)</f>
        <v>=DISPIMG("ID_B479601268784D58892CB9878A418C82",1)</v>
      </c>
      <c r="B203" t="s">
        <v>447</v>
      </c>
      <c r="C203" t="s">
        <v>314</v>
      </c>
      <c r="D203" t="s">
        <v>887</v>
      </c>
      <c r="E203" t="s">
        <v>84</v>
      </c>
      <c r="F203" t="s">
        <v>162</v>
      </c>
      <c r="G203" t="s">
        <v>431</v>
      </c>
      <c r="H203" t="s">
        <v>84</v>
      </c>
      <c r="I203" t="s">
        <v>175</v>
      </c>
      <c r="J203" t="s">
        <v>26</v>
      </c>
      <c r="K203" t="s">
        <v>27</v>
      </c>
      <c r="L203" t="s">
        <v>323</v>
      </c>
      <c r="M203" t="s">
        <v>166</v>
      </c>
      <c r="N203" t="s">
        <v>64</v>
      </c>
      <c r="O203" t="s">
        <v>31</v>
      </c>
      <c r="P203" t="s">
        <v>128</v>
      </c>
      <c r="Q203" t="s">
        <v>190</v>
      </c>
      <c r="R203" t="s">
        <v>888</v>
      </c>
      <c r="S203" t="s">
        <v>889</v>
      </c>
    </row>
    <row r="204" ht="55" customHeight="1" spans="1:19">
      <c r="A204" s="1" t="str">
        <f>_xlfn.DISPIMG("ID_9D136FD760924F8694A100405AD258AF",1)</f>
        <v>=DISPIMG("ID_9D136FD760924F8694A100405AD258AF",1)</v>
      </c>
      <c r="B204" t="s">
        <v>890</v>
      </c>
      <c r="C204" t="s">
        <v>891</v>
      </c>
      <c r="D204" t="s">
        <v>349</v>
      </c>
      <c r="E204" t="s">
        <v>461</v>
      </c>
      <c r="F204" t="s">
        <v>91</v>
      </c>
      <c r="G204" t="s">
        <v>600</v>
      </c>
      <c r="H204" t="s">
        <v>461</v>
      </c>
      <c r="I204" t="s">
        <v>42</v>
      </c>
      <c r="J204" t="s">
        <v>26</v>
      </c>
      <c r="K204" t="s">
        <v>27</v>
      </c>
      <c r="L204" t="s">
        <v>28</v>
      </c>
      <c r="M204" t="s">
        <v>93</v>
      </c>
      <c r="N204" t="s">
        <v>30</v>
      </c>
      <c r="O204" t="s">
        <v>31</v>
      </c>
      <c r="P204" t="s">
        <v>285</v>
      </c>
      <c r="Q204" t="s">
        <v>183</v>
      </c>
      <c r="R204" t="s">
        <v>130</v>
      </c>
      <c r="S204" t="s">
        <v>892</v>
      </c>
    </row>
    <row r="205" ht="55" customHeight="1" spans="1:19">
      <c r="A205" s="1" t="str">
        <f>_xlfn.DISPIMG("ID_9BF619E14D264C52A1712FAC40FFE538",1)</f>
        <v>=DISPIMG("ID_9BF619E14D264C52A1712FAC40FFE538",1)</v>
      </c>
      <c r="B205" t="s">
        <v>893</v>
      </c>
      <c r="C205" t="s">
        <v>715</v>
      </c>
      <c r="D205" t="s">
        <v>400</v>
      </c>
      <c r="E205" t="s">
        <v>211</v>
      </c>
      <c r="F205" t="s">
        <v>401</v>
      </c>
      <c r="G205" t="s">
        <v>894</v>
      </c>
      <c r="H205" t="s">
        <v>211</v>
      </c>
      <c r="I205" t="s">
        <v>175</v>
      </c>
      <c r="J205" t="s">
        <v>26</v>
      </c>
      <c r="K205" t="s">
        <v>27</v>
      </c>
      <c r="L205" t="s">
        <v>28</v>
      </c>
      <c r="M205" t="s">
        <v>403</v>
      </c>
      <c r="N205" t="s">
        <v>30</v>
      </c>
      <c r="O205" t="s">
        <v>404</v>
      </c>
      <c r="P205" t="s">
        <v>65</v>
      </c>
      <c r="Q205" t="s">
        <v>113</v>
      </c>
      <c r="R205" t="s">
        <v>324</v>
      </c>
      <c r="S205" t="s">
        <v>895</v>
      </c>
    </row>
    <row r="206" ht="55" customHeight="1" spans="1:19">
      <c r="A206" s="1" t="str">
        <f>_xlfn.DISPIMG("ID_81B94753C12F419F8FD0C954AD071202",1)</f>
        <v>=DISPIMG("ID_81B94753C12F419F8FD0C954AD071202",1)</v>
      </c>
      <c r="B206" t="s">
        <v>236</v>
      </c>
      <c r="C206" t="s">
        <v>896</v>
      </c>
      <c r="D206" t="s">
        <v>315</v>
      </c>
      <c r="E206" t="s">
        <v>316</v>
      </c>
      <c r="F206" t="s">
        <v>51</v>
      </c>
      <c r="G206" t="s">
        <v>676</v>
      </c>
      <c r="H206" t="s">
        <v>357</v>
      </c>
      <c r="I206" t="s">
        <v>42</v>
      </c>
      <c r="J206" t="s">
        <v>26</v>
      </c>
      <c r="K206" t="s">
        <v>27</v>
      </c>
      <c r="L206" t="s">
        <v>74</v>
      </c>
      <c r="M206" t="s">
        <v>29</v>
      </c>
      <c r="N206" t="s">
        <v>30</v>
      </c>
      <c r="O206" t="s">
        <v>31</v>
      </c>
      <c r="P206" t="s">
        <v>146</v>
      </c>
      <c r="Q206" t="s">
        <v>297</v>
      </c>
      <c r="R206" t="s">
        <v>147</v>
      </c>
      <c r="S206" t="s">
        <v>897</v>
      </c>
    </row>
    <row r="207" ht="55" customHeight="1" spans="1:19">
      <c r="A207" s="1" t="str">
        <f>_xlfn.DISPIMG("ID_D33EF6ECDCA2404399778A5B0191ECCE",1)</f>
        <v>=DISPIMG("ID_D33EF6ECDCA2404399778A5B0191ECCE",1)</v>
      </c>
      <c r="B207" t="s">
        <v>141</v>
      </c>
      <c r="C207" t="s">
        <v>898</v>
      </c>
      <c r="D207" t="s">
        <v>708</v>
      </c>
      <c r="E207" t="s">
        <v>709</v>
      </c>
      <c r="F207" t="s">
        <v>40</v>
      </c>
      <c r="G207" t="s">
        <v>538</v>
      </c>
      <c r="H207" t="s">
        <v>111</v>
      </c>
      <c r="I207" t="s">
        <v>42</v>
      </c>
      <c r="J207" t="s">
        <v>26</v>
      </c>
      <c r="K207" t="s">
        <v>27</v>
      </c>
      <c r="L207" t="s">
        <v>28</v>
      </c>
      <c r="M207" t="s">
        <v>29</v>
      </c>
      <c r="N207" t="s">
        <v>30</v>
      </c>
      <c r="O207" t="s">
        <v>31</v>
      </c>
      <c r="P207" t="s">
        <v>154</v>
      </c>
      <c r="Q207" t="s">
        <v>795</v>
      </c>
      <c r="R207" t="s">
        <v>86</v>
      </c>
      <c r="S207" t="s">
        <v>899</v>
      </c>
    </row>
    <row r="208" ht="55" customHeight="1" spans="1:19">
      <c r="A208" s="1" t="str">
        <f>_xlfn.DISPIMG("ID_BFDDA44ECFB74936B6A7298C245E726B",1)</f>
        <v>=DISPIMG("ID_BFDDA44ECFB74936B6A7298C245E726B",1)</v>
      </c>
      <c r="B208" t="s">
        <v>106</v>
      </c>
      <c r="C208" t="s">
        <v>718</v>
      </c>
      <c r="D208" t="s">
        <v>310</v>
      </c>
      <c r="E208" t="s">
        <v>900</v>
      </c>
      <c r="F208" t="s">
        <v>40</v>
      </c>
      <c r="G208" t="s">
        <v>127</v>
      </c>
      <c r="H208" t="s">
        <v>731</v>
      </c>
      <c r="I208" t="s">
        <v>42</v>
      </c>
      <c r="J208" t="s">
        <v>26</v>
      </c>
      <c r="K208" t="s">
        <v>27</v>
      </c>
      <c r="L208" t="s">
        <v>28</v>
      </c>
      <c r="M208" t="s">
        <v>29</v>
      </c>
      <c r="N208" t="s">
        <v>30</v>
      </c>
      <c r="O208" t="s">
        <v>31</v>
      </c>
      <c r="P208" t="s">
        <v>75</v>
      </c>
      <c r="Q208" t="s">
        <v>103</v>
      </c>
      <c r="R208" t="s">
        <v>114</v>
      </c>
      <c r="S208" t="s">
        <v>901</v>
      </c>
    </row>
    <row r="209" ht="55" customHeight="1" spans="1:19">
      <c r="A209" s="1" t="str">
        <f>_xlfn.DISPIMG("ID_6F88FB6074B948D3A384414E43956083",1)</f>
        <v>=DISPIMG("ID_6F88FB6074B948D3A384414E43956083",1)</v>
      </c>
      <c r="B209" t="s">
        <v>902</v>
      </c>
      <c r="C209" t="s">
        <v>903</v>
      </c>
      <c r="D209" t="s">
        <v>904</v>
      </c>
      <c r="E209" t="s">
        <v>84</v>
      </c>
      <c r="F209" t="s">
        <v>23</v>
      </c>
      <c r="G209" t="s">
        <v>905</v>
      </c>
      <c r="H209" t="s">
        <v>84</v>
      </c>
      <c r="I209" t="s">
        <v>25</v>
      </c>
      <c r="J209" t="s">
        <v>26</v>
      </c>
      <c r="K209" t="s">
        <v>27</v>
      </c>
      <c r="L209" t="s">
        <v>28</v>
      </c>
      <c r="M209" t="s">
        <v>29</v>
      </c>
      <c r="N209" t="s">
        <v>64</v>
      </c>
      <c r="O209" t="s">
        <v>31</v>
      </c>
      <c r="P209" t="s">
        <v>247</v>
      </c>
      <c r="Q209" t="s">
        <v>501</v>
      </c>
      <c r="R209" t="s">
        <v>906</v>
      </c>
      <c r="S209" t="s">
        <v>907</v>
      </c>
    </row>
    <row r="210" ht="55" customHeight="1" spans="1:19">
      <c r="A210" s="1" t="str">
        <f>_xlfn.DISPIMG("ID_975C3DFD07EB4C3FAA761E3E341D816F",1)</f>
        <v>=DISPIMG("ID_975C3DFD07EB4C3FAA761E3E341D816F",1)</v>
      </c>
      <c r="B210" t="s">
        <v>141</v>
      </c>
      <c r="C210" t="s">
        <v>908</v>
      </c>
      <c r="D210" t="s">
        <v>483</v>
      </c>
      <c r="E210" t="s">
        <v>328</v>
      </c>
      <c r="F210" t="s">
        <v>40</v>
      </c>
      <c r="G210" t="s">
        <v>41</v>
      </c>
      <c r="H210" t="s">
        <v>119</v>
      </c>
      <c r="I210" t="s">
        <v>42</v>
      </c>
      <c r="J210" t="s">
        <v>26</v>
      </c>
      <c r="K210" t="s">
        <v>27</v>
      </c>
      <c r="L210" t="s">
        <v>28</v>
      </c>
      <c r="M210" t="s">
        <v>29</v>
      </c>
      <c r="N210" t="s">
        <v>30</v>
      </c>
      <c r="O210" t="s">
        <v>31</v>
      </c>
      <c r="P210" t="s">
        <v>75</v>
      </c>
      <c r="Q210" t="s">
        <v>255</v>
      </c>
      <c r="R210" t="s">
        <v>86</v>
      </c>
      <c r="S210" t="s">
        <v>909</v>
      </c>
    </row>
    <row r="211" ht="55" customHeight="1" spans="1:19">
      <c r="A211" s="1" t="str">
        <f>_xlfn.DISPIMG("ID_DF430FBA6C3548AD97D43A1FF4FD9C63",1)</f>
        <v>=DISPIMG("ID_DF430FBA6C3548AD97D43A1FF4FD9C63",1)</v>
      </c>
      <c r="B211" t="s">
        <v>141</v>
      </c>
      <c r="C211" t="s">
        <v>910</v>
      </c>
      <c r="D211" t="s">
        <v>210</v>
      </c>
      <c r="E211" t="s">
        <v>211</v>
      </c>
      <c r="F211" t="s">
        <v>40</v>
      </c>
      <c r="G211" t="s">
        <v>41</v>
      </c>
      <c r="H211" t="s">
        <v>211</v>
      </c>
      <c r="I211" t="s">
        <v>42</v>
      </c>
      <c r="J211" t="s">
        <v>26</v>
      </c>
      <c r="K211" t="s">
        <v>27</v>
      </c>
      <c r="L211" t="s">
        <v>53</v>
      </c>
      <c r="M211" t="s">
        <v>29</v>
      </c>
      <c r="N211" t="s">
        <v>30</v>
      </c>
      <c r="O211" t="s">
        <v>31</v>
      </c>
      <c r="P211" t="s">
        <v>364</v>
      </c>
      <c r="Q211" t="s">
        <v>122</v>
      </c>
      <c r="R211" t="s">
        <v>86</v>
      </c>
      <c r="S211" t="s">
        <v>911</v>
      </c>
    </row>
    <row r="212" ht="55" customHeight="1" spans="1:19">
      <c r="A212" s="1" t="str">
        <f>_xlfn.DISPIMG("ID_452C4BC10D9449A194A4003AEA0C3F4C",1)</f>
        <v>=DISPIMG("ID_452C4BC10D9449A194A4003AEA0C3F4C",1)</v>
      </c>
      <c r="B212" t="s">
        <v>912</v>
      </c>
      <c r="C212" t="s">
        <v>913</v>
      </c>
      <c r="D212" t="s">
        <v>108</v>
      </c>
      <c r="E212" t="s">
        <v>109</v>
      </c>
      <c r="F212" t="s">
        <v>91</v>
      </c>
      <c r="G212" t="s">
        <v>300</v>
      </c>
      <c r="H212" t="s">
        <v>111</v>
      </c>
      <c r="I212" t="s">
        <v>175</v>
      </c>
      <c r="J212" t="s">
        <v>230</v>
      </c>
      <c r="K212" t="s">
        <v>27</v>
      </c>
      <c r="L212" t="s">
        <v>28</v>
      </c>
      <c r="M212" t="s">
        <v>93</v>
      </c>
      <c r="N212" t="s">
        <v>64</v>
      </c>
      <c r="O212" t="s">
        <v>31</v>
      </c>
      <c r="P212" t="s">
        <v>112</v>
      </c>
      <c r="Q212" t="s">
        <v>468</v>
      </c>
      <c r="R212" t="s">
        <v>914</v>
      </c>
      <c r="S212" t="s">
        <v>915</v>
      </c>
    </row>
    <row r="213" ht="55" customHeight="1" spans="1:19">
      <c r="A213" s="1" t="str">
        <f>_xlfn.DISPIMG("ID_AD502DFF4C2C4911841BC549826217E9",1)</f>
        <v>=DISPIMG("ID_AD502DFF4C2C4911841BC549826217E9",1)</v>
      </c>
      <c r="B213" t="s">
        <v>893</v>
      </c>
      <c r="C213" t="s">
        <v>209</v>
      </c>
      <c r="D213" t="s">
        <v>511</v>
      </c>
      <c r="E213" t="s">
        <v>197</v>
      </c>
      <c r="F213" t="s">
        <v>401</v>
      </c>
      <c r="G213" t="s">
        <v>284</v>
      </c>
      <c r="H213" t="s">
        <v>197</v>
      </c>
      <c r="I213" t="s">
        <v>175</v>
      </c>
      <c r="J213" t="s">
        <v>26</v>
      </c>
      <c r="K213" t="s">
        <v>27</v>
      </c>
      <c r="L213" t="s">
        <v>323</v>
      </c>
      <c r="M213" t="s">
        <v>403</v>
      </c>
      <c r="N213" t="s">
        <v>30</v>
      </c>
      <c r="O213" t="s">
        <v>404</v>
      </c>
      <c r="P213" t="s">
        <v>182</v>
      </c>
      <c r="Q213" t="s">
        <v>85</v>
      </c>
      <c r="R213" t="s">
        <v>324</v>
      </c>
      <c r="S213" t="s">
        <v>916</v>
      </c>
    </row>
    <row r="214" ht="55" customHeight="1" spans="1:19">
      <c r="A214" s="1" t="str">
        <f>_xlfn.DISPIMG("ID_0BFD3FBE36A74BCAA5A4CD842F88E054",1)</f>
        <v>=DISPIMG("ID_0BFD3FBE36A74BCAA5A4CD842F88E054",1)</v>
      </c>
      <c r="B214" t="s">
        <v>338</v>
      </c>
      <c r="C214" t="s">
        <v>422</v>
      </c>
      <c r="D214" t="s">
        <v>99</v>
      </c>
      <c r="E214" t="s">
        <v>100</v>
      </c>
      <c r="F214" t="s">
        <v>91</v>
      </c>
      <c r="G214" t="s">
        <v>402</v>
      </c>
      <c r="H214" t="s">
        <v>100</v>
      </c>
      <c r="I214" t="s">
        <v>25</v>
      </c>
      <c r="J214" t="s">
        <v>26</v>
      </c>
      <c r="K214" t="s">
        <v>27</v>
      </c>
      <c r="L214" t="s">
        <v>28</v>
      </c>
      <c r="M214" t="s">
        <v>93</v>
      </c>
      <c r="N214" t="s">
        <v>30</v>
      </c>
      <c r="O214" t="s">
        <v>31</v>
      </c>
      <c r="P214" t="s">
        <v>146</v>
      </c>
      <c r="Q214" t="s">
        <v>76</v>
      </c>
      <c r="R214" t="s">
        <v>191</v>
      </c>
      <c r="S214" t="s">
        <v>917</v>
      </c>
    </row>
    <row r="215" ht="55" customHeight="1" spans="1:19">
      <c r="A215" s="1" t="str">
        <f>_xlfn.DISPIMG("ID_26F69B8C75354630A9FBBF9C3261AD1F",1)</f>
        <v>=DISPIMG("ID_26F69B8C75354630A9FBBF9C3261AD1F",1)</v>
      </c>
      <c r="B215" t="s">
        <v>257</v>
      </c>
      <c r="C215" t="s">
        <v>918</v>
      </c>
      <c r="D215" t="s">
        <v>60</v>
      </c>
      <c r="E215" t="s">
        <v>61</v>
      </c>
      <c r="F215" t="s">
        <v>51</v>
      </c>
      <c r="G215" t="s">
        <v>127</v>
      </c>
      <c r="H215" t="s">
        <v>63</v>
      </c>
      <c r="I215" t="s">
        <v>25</v>
      </c>
      <c r="J215" t="s">
        <v>26</v>
      </c>
      <c r="K215" t="s">
        <v>27</v>
      </c>
      <c r="L215" t="s">
        <v>74</v>
      </c>
      <c r="M215" t="s">
        <v>29</v>
      </c>
      <c r="N215" t="s">
        <v>30</v>
      </c>
      <c r="O215" t="s">
        <v>31</v>
      </c>
      <c r="P215" t="s">
        <v>154</v>
      </c>
      <c r="Q215" t="s">
        <v>155</v>
      </c>
      <c r="R215" t="s">
        <v>263</v>
      </c>
      <c r="S215" t="s">
        <v>919</v>
      </c>
    </row>
    <row r="216" ht="55" customHeight="1" spans="1:19">
      <c r="A216" s="1" t="str">
        <f>_xlfn.DISPIMG("ID_764FC9D47BD04A7D9A314F77912720C5",1)</f>
        <v>=DISPIMG("ID_764FC9D47BD04A7D9A314F77912720C5",1)</v>
      </c>
      <c r="B216" t="s">
        <v>465</v>
      </c>
      <c r="C216" t="s">
        <v>551</v>
      </c>
      <c r="D216" t="s">
        <v>38</v>
      </c>
      <c r="E216" t="s">
        <v>39</v>
      </c>
      <c r="F216" t="s">
        <v>40</v>
      </c>
      <c r="G216" t="s">
        <v>296</v>
      </c>
      <c r="H216" t="s">
        <v>39</v>
      </c>
      <c r="I216" t="s">
        <v>42</v>
      </c>
      <c r="J216" t="s">
        <v>26</v>
      </c>
      <c r="K216" t="s">
        <v>27</v>
      </c>
      <c r="L216" t="s">
        <v>28</v>
      </c>
      <c r="M216" t="s">
        <v>29</v>
      </c>
      <c r="N216" t="s">
        <v>30</v>
      </c>
      <c r="O216" t="s">
        <v>31</v>
      </c>
      <c r="P216" t="s">
        <v>128</v>
      </c>
      <c r="Q216" t="s">
        <v>795</v>
      </c>
      <c r="R216" t="s">
        <v>45</v>
      </c>
      <c r="S216" t="s">
        <v>920</v>
      </c>
    </row>
    <row r="217" ht="55" customHeight="1" spans="1:19">
      <c r="A217" s="1" t="str">
        <f>_xlfn.DISPIMG("ID_AE6D4CD1F1424EEF844F75B3E1AFCD5E",1)</f>
        <v>=DISPIMG("ID_AE6D4CD1F1424EEF844F75B3E1AFCD5E",1)</v>
      </c>
      <c r="B217" t="s">
        <v>366</v>
      </c>
      <c r="C217" t="s">
        <v>921</v>
      </c>
      <c r="D217" t="s">
        <v>375</v>
      </c>
      <c r="E217" t="s">
        <v>100</v>
      </c>
      <c r="F217" t="s">
        <v>245</v>
      </c>
      <c r="G217" t="s">
        <v>740</v>
      </c>
      <c r="H217" t="s">
        <v>100</v>
      </c>
      <c r="I217" t="s">
        <v>165</v>
      </c>
      <c r="J217" t="s">
        <v>26</v>
      </c>
      <c r="K217" t="s">
        <v>27</v>
      </c>
      <c r="L217" t="s">
        <v>231</v>
      </c>
      <c r="M217" t="s">
        <v>93</v>
      </c>
      <c r="N217" t="s">
        <v>30</v>
      </c>
      <c r="O217" t="s">
        <v>31</v>
      </c>
      <c r="P217" t="s">
        <v>75</v>
      </c>
      <c r="Q217" t="s">
        <v>190</v>
      </c>
      <c r="R217" t="s">
        <v>370</v>
      </c>
      <c r="S217" t="s">
        <v>922</v>
      </c>
    </row>
    <row r="218" ht="55" customHeight="1" spans="1:19">
      <c r="A218" s="1" t="str">
        <f>_xlfn.DISPIMG("ID_71F56436FCC64F1492115901269D450B",1)</f>
        <v>=DISPIMG("ID_71F56436FCC64F1492115901269D450B",1)</v>
      </c>
      <c r="B218" t="s">
        <v>366</v>
      </c>
      <c r="C218" t="s">
        <v>560</v>
      </c>
      <c r="D218" t="s">
        <v>143</v>
      </c>
      <c r="E218" t="s">
        <v>144</v>
      </c>
      <c r="F218" t="s">
        <v>245</v>
      </c>
      <c r="G218" t="s">
        <v>747</v>
      </c>
      <c r="H218" t="s">
        <v>144</v>
      </c>
      <c r="I218" t="s">
        <v>165</v>
      </c>
      <c r="J218" t="s">
        <v>26</v>
      </c>
      <c r="K218" t="s">
        <v>27</v>
      </c>
      <c r="L218" t="s">
        <v>231</v>
      </c>
      <c r="M218" t="s">
        <v>93</v>
      </c>
      <c r="N218" t="s">
        <v>30</v>
      </c>
      <c r="O218" t="s">
        <v>31</v>
      </c>
      <c r="P218" t="s">
        <v>473</v>
      </c>
      <c r="Q218" t="s">
        <v>190</v>
      </c>
      <c r="R218" t="s">
        <v>370</v>
      </c>
      <c r="S218" t="s">
        <v>923</v>
      </c>
    </row>
    <row r="219" ht="55" customHeight="1" spans="1:19">
      <c r="A219" s="1" t="str">
        <f>_xlfn.DISPIMG("ID_4EF6AFB012E148A58B6D09E9098DF0D7",1)</f>
        <v>=DISPIMG("ID_4EF6AFB012E148A58B6D09E9098DF0D7",1)</v>
      </c>
      <c r="B219" t="s">
        <v>924</v>
      </c>
      <c r="C219" t="s">
        <v>925</v>
      </c>
      <c r="D219" t="s">
        <v>926</v>
      </c>
      <c r="E219" t="s">
        <v>927</v>
      </c>
      <c r="F219" t="s">
        <v>23</v>
      </c>
      <c r="G219" t="s">
        <v>101</v>
      </c>
      <c r="H219" t="s">
        <v>927</v>
      </c>
      <c r="I219" t="s">
        <v>25</v>
      </c>
      <c r="J219" t="s">
        <v>26</v>
      </c>
      <c r="K219" t="s">
        <v>27</v>
      </c>
      <c r="L219" t="s">
        <v>28</v>
      </c>
      <c r="M219" t="s">
        <v>29</v>
      </c>
      <c r="N219" t="s">
        <v>30</v>
      </c>
      <c r="O219" t="s">
        <v>31</v>
      </c>
      <c r="P219" t="s">
        <v>530</v>
      </c>
      <c r="Q219" t="s">
        <v>468</v>
      </c>
      <c r="R219" t="s">
        <v>147</v>
      </c>
      <c r="S219" t="s">
        <v>928</v>
      </c>
    </row>
    <row r="220" ht="55" customHeight="1" spans="1:19">
      <c r="A220" s="1" t="str">
        <f>_xlfn.DISPIMG("ID_F12A78ED528B4C6DBB6A33D5BE8C23DB",1)</f>
        <v>=DISPIMG("ID_F12A78ED528B4C6DBB6A33D5BE8C23DB",1)</v>
      </c>
      <c r="B220" t="s">
        <v>406</v>
      </c>
      <c r="C220" t="s">
        <v>801</v>
      </c>
      <c r="D220" t="s">
        <v>304</v>
      </c>
      <c r="E220" t="s">
        <v>929</v>
      </c>
      <c r="F220" t="s">
        <v>40</v>
      </c>
      <c r="G220" t="s">
        <v>930</v>
      </c>
      <c r="H220" t="s">
        <v>357</v>
      </c>
      <c r="I220" t="s">
        <v>42</v>
      </c>
      <c r="J220" t="s">
        <v>26</v>
      </c>
      <c r="K220" t="s">
        <v>27</v>
      </c>
      <c r="L220" t="s">
        <v>53</v>
      </c>
      <c r="M220" t="s">
        <v>29</v>
      </c>
      <c r="N220" t="s">
        <v>30</v>
      </c>
      <c r="O220" t="s">
        <v>31</v>
      </c>
      <c r="P220" t="s">
        <v>857</v>
      </c>
      <c r="Q220" t="s">
        <v>931</v>
      </c>
      <c r="R220" t="s">
        <v>409</v>
      </c>
      <c r="S220" t="s">
        <v>932</v>
      </c>
    </row>
    <row r="221" ht="55" customHeight="1" spans="1:19">
      <c r="A221" s="1" t="str">
        <f>_xlfn.DISPIMG("ID_762E41B6CCE24D1B9BB5B939337304BB",1)</f>
        <v>=DISPIMG("ID_762E41B6CCE24D1B9BB5B939337304BB",1)</v>
      </c>
      <c r="B221" t="s">
        <v>251</v>
      </c>
      <c r="C221" t="s">
        <v>933</v>
      </c>
      <c r="D221" t="s">
        <v>310</v>
      </c>
      <c r="E221" t="s">
        <v>311</v>
      </c>
      <c r="F221" t="s">
        <v>40</v>
      </c>
      <c r="G221" t="s">
        <v>296</v>
      </c>
      <c r="H221" t="s">
        <v>39</v>
      </c>
      <c r="I221" t="s">
        <v>42</v>
      </c>
      <c r="J221" t="s">
        <v>26</v>
      </c>
      <c r="K221" t="s">
        <v>27</v>
      </c>
      <c r="L221" t="s">
        <v>74</v>
      </c>
      <c r="M221" t="s">
        <v>29</v>
      </c>
      <c r="N221" t="s">
        <v>30</v>
      </c>
      <c r="O221" t="s">
        <v>31</v>
      </c>
      <c r="P221" t="s">
        <v>128</v>
      </c>
      <c r="Q221" t="s">
        <v>352</v>
      </c>
      <c r="R221" t="s">
        <v>114</v>
      </c>
      <c r="S221" t="s">
        <v>934</v>
      </c>
    </row>
    <row r="222" ht="55" customHeight="1" spans="1:19">
      <c r="A222" s="1" t="str">
        <f>_xlfn.DISPIMG("ID_98F4DFD1F66C4CD88F77696BDCF23583",1)</f>
        <v>=DISPIMG("ID_98F4DFD1F66C4CD88F77696BDCF23583",1)</v>
      </c>
      <c r="B222" t="s">
        <v>935</v>
      </c>
      <c r="C222" t="s">
        <v>936</v>
      </c>
      <c r="D222" t="s">
        <v>577</v>
      </c>
      <c r="E222" t="s">
        <v>311</v>
      </c>
      <c r="F222" t="s">
        <v>245</v>
      </c>
      <c r="G222" t="s">
        <v>747</v>
      </c>
      <c r="H222" t="s">
        <v>39</v>
      </c>
      <c r="I222" t="s">
        <v>165</v>
      </c>
      <c r="J222" t="s">
        <v>26</v>
      </c>
      <c r="K222" t="s">
        <v>27</v>
      </c>
      <c r="L222" t="s">
        <v>231</v>
      </c>
      <c r="M222" t="s">
        <v>93</v>
      </c>
      <c r="N222" t="s">
        <v>30</v>
      </c>
      <c r="O222" t="s">
        <v>31</v>
      </c>
      <c r="P222" t="s">
        <v>301</v>
      </c>
      <c r="Q222" t="s">
        <v>369</v>
      </c>
      <c r="R222" t="s">
        <v>249</v>
      </c>
      <c r="S222" t="s">
        <v>937</v>
      </c>
    </row>
    <row r="223" ht="55" customHeight="1" spans="1:19">
      <c r="A223" s="1" t="str">
        <f>_xlfn.DISPIMG("ID_A34572345AE54918B3A03DF3A0426EB6",1)</f>
        <v>=DISPIMG("ID_A34572345AE54918B3A03DF3A0426EB6",1)</v>
      </c>
      <c r="B223" t="s">
        <v>465</v>
      </c>
      <c r="C223" t="s">
        <v>391</v>
      </c>
      <c r="D223" t="s">
        <v>483</v>
      </c>
      <c r="E223" t="s">
        <v>328</v>
      </c>
      <c r="F223" t="s">
        <v>40</v>
      </c>
      <c r="G223" t="s">
        <v>606</v>
      </c>
      <c r="H223" t="s">
        <v>119</v>
      </c>
      <c r="I223" t="s">
        <v>42</v>
      </c>
      <c r="J223" t="s">
        <v>26</v>
      </c>
      <c r="K223" t="s">
        <v>27</v>
      </c>
      <c r="L223" t="s">
        <v>28</v>
      </c>
      <c r="M223" t="s">
        <v>29</v>
      </c>
      <c r="N223" t="s">
        <v>64</v>
      </c>
      <c r="O223" t="s">
        <v>31</v>
      </c>
      <c r="P223" t="s">
        <v>351</v>
      </c>
      <c r="Q223" t="s">
        <v>297</v>
      </c>
      <c r="R223" t="s">
        <v>45</v>
      </c>
      <c r="S223" t="s">
        <v>938</v>
      </c>
    </row>
    <row r="224" ht="55" customHeight="1" spans="1:19">
      <c r="A224" s="1" t="str">
        <f>_xlfn.DISPIMG("ID_4179324ECC564534AD0D15B103A77000",1)</f>
        <v>=DISPIMG("ID_4179324ECC564534AD0D15B103A77000",1)</v>
      </c>
      <c r="B224" t="s">
        <v>939</v>
      </c>
      <c r="C224" t="s">
        <v>654</v>
      </c>
      <c r="D224" t="s">
        <v>253</v>
      </c>
      <c r="E224" t="s">
        <v>161</v>
      </c>
      <c r="F224" t="s">
        <v>91</v>
      </c>
      <c r="G224" t="s">
        <v>495</v>
      </c>
      <c r="H224" t="s">
        <v>164</v>
      </c>
      <c r="I224" t="s">
        <v>42</v>
      </c>
      <c r="J224" t="s">
        <v>230</v>
      </c>
      <c r="K224" t="s">
        <v>27</v>
      </c>
      <c r="L224" t="s">
        <v>28</v>
      </c>
      <c r="M224" t="s">
        <v>93</v>
      </c>
      <c r="N224" t="s">
        <v>30</v>
      </c>
      <c r="O224" t="s">
        <v>31</v>
      </c>
      <c r="P224" t="s">
        <v>65</v>
      </c>
      <c r="Q224" t="s">
        <v>55</v>
      </c>
      <c r="R224" t="s">
        <v>940</v>
      </c>
      <c r="S224" t="s">
        <v>941</v>
      </c>
    </row>
    <row r="225" ht="55" customHeight="1" spans="1:19">
      <c r="A225" s="1" t="str">
        <f>_xlfn.DISPIMG("ID_88D38721FBF14D1CB0A5D827216DB87B",1)</f>
        <v>=DISPIMG("ID_88D38721FBF14D1CB0A5D827216DB87B",1)</v>
      </c>
      <c r="B225" t="s">
        <v>320</v>
      </c>
      <c r="C225" t="s">
        <v>321</v>
      </c>
      <c r="D225" t="s">
        <v>454</v>
      </c>
      <c r="E225" t="s">
        <v>135</v>
      </c>
      <c r="F225" t="s">
        <v>173</v>
      </c>
      <c r="G225" t="s">
        <v>942</v>
      </c>
      <c r="H225" t="s">
        <v>135</v>
      </c>
      <c r="I225" t="s">
        <v>175</v>
      </c>
      <c r="J225" t="s">
        <v>26</v>
      </c>
      <c r="K225" t="s">
        <v>27</v>
      </c>
      <c r="L225" t="s">
        <v>28</v>
      </c>
      <c r="M225" t="s">
        <v>93</v>
      </c>
      <c r="N225" t="s">
        <v>30</v>
      </c>
      <c r="O225" t="s">
        <v>31</v>
      </c>
      <c r="P225" t="s">
        <v>154</v>
      </c>
      <c r="Q225" t="s">
        <v>76</v>
      </c>
      <c r="R225" t="s">
        <v>324</v>
      </c>
      <c r="S225" t="s">
        <v>943</v>
      </c>
    </row>
    <row r="226" ht="55" customHeight="1" spans="1:19">
      <c r="A226" s="1" t="str">
        <f>_xlfn.DISPIMG("ID_CE8F79DA84814CABAC335669180C6449",1)</f>
        <v>=DISPIMG("ID_CE8F79DA84814CABAC335669180C6449",1)</v>
      </c>
      <c r="B226" t="s">
        <v>854</v>
      </c>
      <c r="C226" t="s">
        <v>944</v>
      </c>
      <c r="D226" t="s">
        <v>375</v>
      </c>
      <c r="E226" t="s">
        <v>486</v>
      </c>
      <c r="F226" t="s">
        <v>40</v>
      </c>
      <c r="G226" t="s">
        <v>246</v>
      </c>
      <c r="H226" t="s">
        <v>486</v>
      </c>
      <c r="I226" t="s">
        <v>25</v>
      </c>
      <c r="J226" t="s">
        <v>26</v>
      </c>
      <c r="K226" t="s">
        <v>27</v>
      </c>
      <c r="L226" t="s">
        <v>53</v>
      </c>
      <c r="M226" t="s">
        <v>29</v>
      </c>
      <c r="N226" t="s">
        <v>30</v>
      </c>
      <c r="O226" t="s">
        <v>31</v>
      </c>
      <c r="P226" t="s">
        <v>65</v>
      </c>
      <c r="Q226" t="s">
        <v>297</v>
      </c>
      <c r="R226" t="s">
        <v>945</v>
      </c>
      <c r="S226" t="s">
        <v>946</v>
      </c>
    </row>
    <row r="227" ht="55" customHeight="1" spans="1:19">
      <c r="A227" s="1" t="str">
        <f>_xlfn.DISPIMG("ID_0FEC6775E48546E1AB51DAC7D16E4F14",1)</f>
        <v>=DISPIMG("ID_0FEC6775E48546E1AB51DAC7D16E4F14",1)</v>
      </c>
      <c r="B227" t="s">
        <v>947</v>
      </c>
      <c r="C227" t="s">
        <v>489</v>
      </c>
      <c r="D227" t="s">
        <v>322</v>
      </c>
      <c r="E227" t="s">
        <v>211</v>
      </c>
      <c r="F227" t="s">
        <v>162</v>
      </c>
      <c r="G227" t="s">
        <v>41</v>
      </c>
      <c r="H227" t="s">
        <v>211</v>
      </c>
      <c r="I227" t="s">
        <v>175</v>
      </c>
      <c r="J227" t="s">
        <v>230</v>
      </c>
      <c r="K227" t="s">
        <v>27</v>
      </c>
      <c r="L227" t="s">
        <v>329</v>
      </c>
      <c r="M227" t="s">
        <v>166</v>
      </c>
      <c r="N227" t="s">
        <v>30</v>
      </c>
      <c r="O227" t="s">
        <v>31</v>
      </c>
      <c r="P227" t="s">
        <v>138</v>
      </c>
      <c r="Q227" t="s">
        <v>948</v>
      </c>
      <c r="R227" t="s">
        <v>949</v>
      </c>
      <c r="S227" t="s">
        <v>950</v>
      </c>
    </row>
    <row r="228" ht="55" customHeight="1" spans="1:19">
      <c r="A228" s="1" t="str">
        <f>_xlfn.DISPIMG("ID_EC79FFC127A7468294CA904E3F699D1E",1)</f>
        <v>=DISPIMG("ID_EC79FFC127A7468294CA904E3F699D1E",1)</v>
      </c>
      <c r="B228" t="s">
        <v>465</v>
      </c>
      <c r="C228" t="s">
        <v>951</v>
      </c>
      <c r="D228" t="s">
        <v>81</v>
      </c>
      <c r="E228" t="s">
        <v>82</v>
      </c>
      <c r="F228" t="s">
        <v>40</v>
      </c>
      <c r="G228" t="s">
        <v>306</v>
      </c>
      <c r="H228" t="s">
        <v>84</v>
      </c>
      <c r="I228" t="s">
        <v>42</v>
      </c>
      <c r="J228" t="s">
        <v>26</v>
      </c>
      <c r="K228" t="s">
        <v>27</v>
      </c>
      <c r="L228" t="s">
        <v>28</v>
      </c>
      <c r="M228" t="s">
        <v>29</v>
      </c>
      <c r="N228" t="s">
        <v>30</v>
      </c>
      <c r="O228" t="s">
        <v>31</v>
      </c>
      <c r="P228" t="s">
        <v>182</v>
      </c>
      <c r="Q228" t="s">
        <v>952</v>
      </c>
      <c r="R228" t="s">
        <v>45</v>
      </c>
      <c r="S228" t="s">
        <v>953</v>
      </c>
    </row>
    <row r="229" ht="55" customHeight="1" spans="1:19">
      <c r="A229" s="1" t="str">
        <f>_xlfn.DISPIMG("ID_1A3A89B7BC064365BE337F82423FD286",1)</f>
        <v>=DISPIMG("ID_1A3A89B7BC064365BE337F82423FD286",1)</v>
      </c>
      <c r="B229" t="s">
        <v>36</v>
      </c>
      <c r="C229" t="s">
        <v>954</v>
      </c>
      <c r="D229" t="s">
        <v>349</v>
      </c>
      <c r="E229" t="s">
        <v>84</v>
      </c>
      <c r="F229" t="s">
        <v>40</v>
      </c>
      <c r="G229" t="s">
        <v>444</v>
      </c>
      <c r="H229" t="s">
        <v>84</v>
      </c>
      <c r="I229" t="s">
        <v>42</v>
      </c>
      <c r="J229" t="s">
        <v>26</v>
      </c>
      <c r="K229" t="s">
        <v>27</v>
      </c>
      <c r="L229" t="s">
        <v>28</v>
      </c>
      <c r="M229" t="s">
        <v>29</v>
      </c>
      <c r="N229" t="s">
        <v>30</v>
      </c>
      <c r="O229" t="s">
        <v>31</v>
      </c>
      <c r="P229" t="s">
        <v>65</v>
      </c>
      <c r="Q229" t="s">
        <v>275</v>
      </c>
      <c r="R229" t="s">
        <v>45</v>
      </c>
      <c r="S229" t="s">
        <v>955</v>
      </c>
    </row>
    <row r="230" ht="55" customHeight="1" spans="1:19">
      <c r="A230" s="1" t="str">
        <f>_xlfn.DISPIMG("ID_15EB5F94B2A3472E8270B92698408C48",1)</f>
        <v>=DISPIMG("ID_15EB5F94B2A3472E8270B92698408C48",1)</v>
      </c>
      <c r="B230" t="s">
        <v>956</v>
      </c>
      <c r="C230" t="s">
        <v>453</v>
      </c>
      <c r="D230" t="s">
        <v>957</v>
      </c>
      <c r="E230" t="s">
        <v>63</v>
      </c>
      <c r="F230" t="s">
        <v>23</v>
      </c>
      <c r="G230" t="s">
        <v>958</v>
      </c>
      <c r="H230" t="s">
        <v>63</v>
      </c>
      <c r="I230" t="s">
        <v>25</v>
      </c>
      <c r="J230" t="s">
        <v>26</v>
      </c>
      <c r="K230" t="s">
        <v>27</v>
      </c>
      <c r="L230" t="s">
        <v>231</v>
      </c>
      <c r="M230" t="s">
        <v>29</v>
      </c>
      <c r="N230" t="s">
        <v>64</v>
      </c>
      <c r="O230" t="s">
        <v>31</v>
      </c>
      <c r="P230" t="s">
        <v>65</v>
      </c>
      <c r="Q230" t="s">
        <v>574</v>
      </c>
      <c r="R230" t="s">
        <v>959</v>
      </c>
      <c r="S230" t="s">
        <v>960</v>
      </c>
    </row>
    <row r="231" ht="55" customHeight="1" spans="1:19">
      <c r="A231" s="1" t="str">
        <f>_xlfn.DISPIMG("ID_74441BF9A75A4F1E80F73C2BED0249C8",1)</f>
        <v>=DISPIMG("ID_74441BF9A75A4F1E80F73C2BED0249C8",1)</v>
      </c>
      <c r="B231" t="s">
        <v>242</v>
      </c>
      <c r="C231" t="s">
        <v>961</v>
      </c>
      <c r="D231" t="s">
        <v>244</v>
      </c>
      <c r="E231" t="s">
        <v>164</v>
      </c>
      <c r="F231" t="s">
        <v>245</v>
      </c>
      <c r="G231" t="s">
        <v>606</v>
      </c>
      <c r="H231" t="s">
        <v>164</v>
      </c>
      <c r="I231" t="s">
        <v>165</v>
      </c>
      <c r="J231" t="s">
        <v>26</v>
      </c>
      <c r="K231" t="s">
        <v>27</v>
      </c>
      <c r="L231" t="s">
        <v>557</v>
      </c>
      <c r="M231" t="s">
        <v>93</v>
      </c>
      <c r="N231" t="s">
        <v>30</v>
      </c>
      <c r="O231" t="s">
        <v>31</v>
      </c>
      <c r="P231" t="s">
        <v>54</v>
      </c>
      <c r="Q231" t="s">
        <v>248</v>
      </c>
      <c r="R231" t="s">
        <v>962</v>
      </c>
      <c r="S231" t="s">
        <v>963</v>
      </c>
    </row>
    <row r="232" ht="55" customHeight="1" spans="1:19">
      <c r="A232" s="1" t="str">
        <f>_xlfn.DISPIMG("ID_EAB8977ACDDF4DBEB3F153F3F285C6E6",1)</f>
        <v>=DISPIMG("ID_EAB8977ACDDF4DBEB3F153F3F285C6E6",1)</v>
      </c>
      <c r="B232" t="s">
        <v>439</v>
      </c>
      <c r="C232" t="s">
        <v>913</v>
      </c>
      <c r="D232" t="s">
        <v>253</v>
      </c>
      <c r="E232" t="s">
        <v>161</v>
      </c>
      <c r="F232" t="s">
        <v>91</v>
      </c>
      <c r="G232" t="s">
        <v>41</v>
      </c>
      <c r="H232" t="s">
        <v>164</v>
      </c>
      <c r="I232" t="s">
        <v>137</v>
      </c>
      <c r="J232" t="s">
        <v>26</v>
      </c>
      <c r="K232" t="s">
        <v>27</v>
      </c>
      <c r="L232" t="s">
        <v>231</v>
      </c>
      <c r="M232" t="s">
        <v>93</v>
      </c>
      <c r="N232" t="s">
        <v>30</v>
      </c>
      <c r="O232" t="s">
        <v>31</v>
      </c>
      <c r="P232" t="s">
        <v>75</v>
      </c>
      <c r="Q232" t="s">
        <v>76</v>
      </c>
      <c r="R232" t="s">
        <v>191</v>
      </c>
      <c r="S232" t="s">
        <v>964</v>
      </c>
    </row>
    <row r="233" ht="55" customHeight="1" spans="1:19">
      <c r="A233" s="1" t="str">
        <f>_xlfn.DISPIMG("ID_1AE460E9A03641519451E89973EFC388",1)</f>
        <v>=DISPIMG("ID_1AE460E9A03641519451E89973EFC388",1)</v>
      </c>
      <c r="B233" t="s">
        <v>465</v>
      </c>
      <c r="C233" t="s">
        <v>391</v>
      </c>
      <c r="D233" t="s">
        <v>375</v>
      </c>
      <c r="E233" t="s">
        <v>100</v>
      </c>
      <c r="F233" t="s">
        <v>40</v>
      </c>
      <c r="G233" t="s">
        <v>246</v>
      </c>
      <c r="H233" t="s">
        <v>100</v>
      </c>
      <c r="I233" t="s">
        <v>42</v>
      </c>
      <c r="J233" t="s">
        <v>26</v>
      </c>
      <c r="K233" t="s">
        <v>27</v>
      </c>
      <c r="L233" t="s">
        <v>28</v>
      </c>
      <c r="M233" t="s">
        <v>29</v>
      </c>
      <c r="N233" t="s">
        <v>661</v>
      </c>
      <c r="O233" t="s">
        <v>31</v>
      </c>
      <c r="P233" t="s">
        <v>965</v>
      </c>
      <c r="Q233" t="s">
        <v>966</v>
      </c>
      <c r="R233" t="s">
        <v>45</v>
      </c>
      <c r="S233" t="s">
        <v>967</v>
      </c>
    </row>
    <row r="234" ht="55" customHeight="1" spans="1:19">
      <c r="A234" s="1" t="str">
        <f>_xlfn.DISPIMG("ID_D81E0C42C71B4F8EB8567A8D68D4B735",1)</f>
        <v>=DISPIMG("ID_D81E0C42C71B4F8EB8567A8D68D4B735",1)</v>
      </c>
      <c r="B234" t="s">
        <v>97</v>
      </c>
      <c r="C234" t="s">
        <v>968</v>
      </c>
      <c r="D234" t="s">
        <v>71</v>
      </c>
      <c r="E234" t="s">
        <v>72</v>
      </c>
      <c r="F234" t="s">
        <v>51</v>
      </c>
      <c r="G234" t="s">
        <v>402</v>
      </c>
      <c r="H234" t="s">
        <v>197</v>
      </c>
      <c r="I234" t="s">
        <v>42</v>
      </c>
      <c r="J234" t="s">
        <v>26</v>
      </c>
      <c r="K234" t="s">
        <v>27</v>
      </c>
      <c r="L234" t="s">
        <v>74</v>
      </c>
      <c r="M234" t="s">
        <v>29</v>
      </c>
      <c r="N234" t="s">
        <v>30</v>
      </c>
      <c r="O234" t="s">
        <v>31</v>
      </c>
      <c r="P234" t="s">
        <v>969</v>
      </c>
      <c r="Q234" t="s">
        <v>802</v>
      </c>
      <c r="R234" t="s">
        <v>104</v>
      </c>
      <c r="S234" t="s">
        <v>970</v>
      </c>
    </row>
    <row r="235" ht="55" customHeight="1" spans="1:19">
      <c r="A235" s="1" t="str">
        <f>_xlfn.DISPIMG("ID_A00137F4EF364DDEA094A1FC27CEFEC6",1)</f>
        <v>=DISPIMG("ID_A00137F4EF364DDEA094A1FC27CEFEC6",1)</v>
      </c>
      <c r="B235" t="s">
        <v>971</v>
      </c>
      <c r="C235" t="s">
        <v>972</v>
      </c>
      <c r="D235" t="s">
        <v>973</v>
      </c>
      <c r="E235" t="s">
        <v>238</v>
      </c>
      <c r="F235" t="s">
        <v>40</v>
      </c>
      <c r="G235" t="s">
        <v>306</v>
      </c>
      <c r="H235" t="s">
        <v>238</v>
      </c>
      <c r="I235" t="s">
        <v>25</v>
      </c>
      <c r="J235" t="s">
        <v>26</v>
      </c>
      <c r="K235" t="s">
        <v>27</v>
      </c>
      <c r="L235" t="s">
        <v>74</v>
      </c>
      <c r="M235" t="s">
        <v>29</v>
      </c>
      <c r="N235" t="s">
        <v>30</v>
      </c>
      <c r="O235" t="s">
        <v>31</v>
      </c>
      <c r="P235" t="s">
        <v>974</v>
      </c>
      <c r="Q235" t="s">
        <v>190</v>
      </c>
      <c r="R235" t="s">
        <v>975</v>
      </c>
      <c r="S235" t="s">
        <v>976</v>
      </c>
    </row>
    <row r="236" ht="55" customHeight="1" spans="1:19">
      <c r="A236" s="1" t="str">
        <f>_xlfn.DISPIMG("ID_13EC432FE6FC42B496D42032B79706AA",1)</f>
        <v>=DISPIMG("ID_13EC432FE6FC42B496D42032B79706AA",1)</v>
      </c>
      <c r="B236" t="s">
        <v>447</v>
      </c>
      <c r="C236" t="s">
        <v>977</v>
      </c>
      <c r="D236" t="s">
        <v>978</v>
      </c>
      <c r="E236" t="s">
        <v>144</v>
      </c>
      <c r="F236" t="s">
        <v>162</v>
      </c>
      <c r="G236" t="s">
        <v>260</v>
      </c>
      <c r="H236" t="s">
        <v>144</v>
      </c>
      <c r="I236" t="s">
        <v>175</v>
      </c>
      <c r="J236" t="s">
        <v>26</v>
      </c>
      <c r="K236" t="s">
        <v>27</v>
      </c>
      <c r="L236" t="s">
        <v>323</v>
      </c>
      <c r="M236" t="s">
        <v>166</v>
      </c>
      <c r="N236" t="s">
        <v>30</v>
      </c>
      <c r="O236" t="s">
        <v>31</v>
      </c>
      <c r="P236" t="s">
        <v>198</v>
      </c>
      <c r="Q236" t="s">
        <v>275</v>
      </c>
      <c r="R236" t="s">
        <v>888</v>
      </c>
      <c r="S236" t="s">
        <v>979</v>
      </c>
    </row>
    <row r="237" ht="55" customHeight="1" spans="1:19">
      <c r="A237" s="1" t="str">
        <f>_xlfn.DISPIMG("ID_484B289A2E3C4A818AA7A2B9696B77FE",1)</f>
        <v>=DISPIMG("ID_484B289A2E3C4A818AA7A2B9696B77FE",1)</v>
      </c>
      <c r="B237" t="s">
        <v>924</v>
      </c>
      <c r="C237" t="s">
        <v>980</v>
      </c>
      <c r="D237" t="s">
        <v>957</v>
      </c>
      <c r="E237" t="s">
        <v>63</v>
      </c>
      <c r="F237" t="s">
        <v>23</v>
      </c>
      <c r="G237" t="s">
        <v>449</v>
      </c>
      <c r="H237" t="s">
        <v>63</v>
      </c>
      <c r="I237" t="s">
        <v>25</v>
      </c>
      <c r="J237" t="s">
        <v>26</v>
      </c>
      <c r="K237" t="s">
        <v>27</v>
      </c>
      <c r="L237" t="s">
        <v>323</v>
      </c>
      <c r="M237" t="s">
        <v>29</v>
      </c>
      <c r="N237" t="s">
        <v>30</v>
      </c>
      <c r="O237" t="s">
        <v>31</v>
      </c>
      <c r="P237" t="s">
        <v>463</v>
      </c>
      <c r="Q237" t="s">
        <v>190</v>
      </c>
      <c r="R237" t="s">
        <v>981</v>
      </c>
      <c r="S237" t="s">
        <v>982</v>
      </c>
    </row>
    <row r="238" ht="55" customHeight="1" spans="1:19">
      <c r="A238" s="1" t="str">
        <f>_xlfn.DISPIMG("ID_7B8D12A8014042C49D89267021AE4D22",1)</f>
        <v>=DISPIMG("ID_7B8D12A8014042C49D89267021AE4D22",1)</v>
      </c>
      <c r="B238" t="s">
        <v>983</v>
      </c>
      <c r="C238" t="s">
        <v>648</v>
      </c>
      <c r="D238" t="s">
        <v>99</v>
      </c>
      <c r="E238" t="s">
        <v>100</v>
      </c>
      <c r="F238" t="s">
        <v>290</v>
      </c>
      <c r="G238" t="s">
        <v>627</v>
      </c>
      <c r="H238" t="s">
        <v>100</v>
      </c>
      <c r="I238" t="s">
        <v>42</v>
      </c>
      <c r="J238" t="s">
        <v>26</v>
      </c>
      <c r="K238" t="s">
        <v>27</v>
      </c>
      <c r="L238" t="s">
        <v>53</v>
      </c>
      <c r="M238" t="s">
        <v>93</v>
      </c>
      <c r="N238" t="s">
        <v>30</v>
      </c>
      <c r="O238" t="s">
        <v>31</v>
      </c>
      <c r="P238" t="s">
        <v>221</v>
      </c>
      <c r="Q238" t="s">
        <v>76</v>
      </c>
      <c r="R238" t="s">
        <v>984</v>
      </c>
      <c r="S238" t="s">
        <v>985</v>
      </c>
    </row>
    <row r="239" ht="55" customHeight="1" spans="1:19">
      <c r="A239" s="1" t="str">
        <f>_xlfn.DISPIMG("ID_AE60F5399ECC454EABE3D9B9CCD24695",1)</f>
        <v>=DISPIMG("ID_AE60F5399ECC454EABE3D9B9CCD24695",1)</v>
      </c>
      <c r="B239" t="s">
        <v>257</v>
      </c>
      <c r="C239" t="s">
        <v>648</v>
      </c>
      <c r="D239" t="s">
        <v>499</v>
      </c>
      <c r="E239" t="s">
        <v>119</v>
      </c>
      <c r="F239" t="s">
        <v>51</v>
      </c>
      <c r="G239" t="s">
        <v>905</v>
      </c>
      <c r="H239" t="s">
        <v>119</v>
      </c>
      <c r="I239" t="s">
        <v>25</v>
      </c>
      <c r="J239" t="s">
        <v>26</v>
      </c>
      <c r="K239" t="s">
        <v>27</v>
      </c>
      <c r="L239" t="s">
        <v>74</v>
      </c>
      <c r="M239" t="s">
        <v>29</v>
      </c>
      <c r="N239" t="s">
        <v>30</v>
      </c>
      <c r="O239" t="s">
        <v>31</v>
      </c>
      <c r="P239" t="s">
        <v>138</v>
      </c>
      <c r="Q239" t="s">
        <v>113</v>
      </c>
      <c r="R239" t="s">
        <v>263</v>
      </c>
      <c r="S239" t="s">
        <v>986</v>
      </c>
    </row>
    <row r="240" ht="55" customHeight="1" spans="1:19">
      <c r="A240" s="1" t="str">
        <f>_xlfn.DISPIMG("ID_F8891600C94042B4A61170876D0C5FFD",1)</f>
        <v>=DISPIMG("ID_F8891600C94042B4A61170876D0C5FFD",1)</v>
      </c>
      <c r="B240" t="s">
        <v>149</v>
      </c>
      <c r="C240" t="s">
        <v>258</v>
      </c>
      <c r="D240" t="s">
        <v>160</v>
      </c>
      <c r="E240" t="s">
        <v>161</v>
      </c>
      <c r="F240" t="s">
        <v>51</v>
      </c>
      <c r="G240" t="s">
        <v>284</v>
      </c>
      <c r="H240" t="s">
        <v>164</v>
      </c>
      <c r="I240" t="s">
        <v>25</v>
      </c>
      <c r="J240" t="s">
        <v>26</v>
      </c>
      <c r="K240" t="s">
        <v>27</v>
      </c>
      <c r="L240" t="s">
        <v>28</v>
      </c>
      <c r="M240" t="s">
        <v>29</v>
      </c>
      <c r="N240" t="s">
        <v>30</v>
      </c>
      <c r="O240" t="s">
        <v>153</v>
      </c>
      <c r="P240" t="s">
        <v>75</v>
      </c>
      <c r="Q240" t="s">
        <v>553</v>
      </c>
      <c r="R240" t="s">
        <v>156</v>
      </c>
      <c r="S240" t="s">
        <v>987</v>
      </c>
    </row>
    <row r="241" ht="55" customHeight="1" spans="1:19">
      <c r="A241" s="1" t="str">
        <f>_xlfn.DISPIMG("ID_D715429B110349D3BFB3C6F5CDBA6B37",1)</f>
        <v>=DISPIMG("ID_D715429B110349D3BFB3C6F5CDBA6B37",1)</v>
      </c>
      <c r="B241" t="s">
        <v>988</v>
      </c>
      <c r="C241" t="s">
        <v>89</v>
      </c>
      <c r="D241" t="s">
        <v>160</v>
      </c>
      <c r="E241" t="s">
        <v>161</v>
      </c>
      <c r="F241" t="s">
        <v>989</v>
      </c>
      <c r="G241" t="s">
        <v>127</v>
      </c>
      <c r="H241" t="s">
        <v>164</v>
      </c>
      <c r="I241" t="s">
        <v>25</v>
      </c>
      <c r="J241" t="s">
        <v>26</v>
      </c>
      <c r="K241" t="s">
        <v>27</v>
      </c>
      <c r="L241" t="s">
        <v>74</v>
      </c>
      <c r="M241" t="s">
        <v>513</v>
      </c>
      <c r="N241" t="s">
        <v>661</v>
      </c>
      <c r="O241" t="s">
        <v>31</v>
      </c>
      <c r="P241" t="s">
        <v>351</v>
      </c>
      <c r="Q241" t="s">
        <v>677</v>
      </c>
      <c r="R241" t="s">
        <v>324</v>
      </c>
      <c r="S241" t="s">
        <v>990</v>
      </c>
    </row>
    <row r="242" ht="55" customHeight="1" spans="1:19">
      <c r="A242" s="1" t="str">
        <f>_xlfn.DISPIMG("ID_8285C570E15A4A059E8BAFE319560D84",1)</f>
        <v>=DISPIMG("ID_8285C570E15A4A059E8BAFE319560D84",1)</v>
      </c>
      <c r="B242" t="s">
        <v>158</v>
      </c>
      <c r="C242" t="s">
        <v>314</v>
      </c>
      <c r="D242" t="s">
        <v>991</v>
      </c>
      <c r="E242" t="s">
        <v>413</v>
      </c>
      <c r="F242" t="s">
        <v>162</v>
      </c>
      <c r="G242" t="s">
        <v>181</v>
      </c>
      <c r="H242" t="s">
        <v>100</v>
      </c>
      <c r="I242" t="s">
        <v>165</v>
      </c>
      <c r="J242" t="s">
        <v>26</v>
      </c>
      <c r="K242" t="s">
        <v>27</v>
      </c>
      <c r="L242" t="s">
        <v>28</v>
      </c>
      <c r="M242" t="s">
        <v>166</v>
      </c>
      <c r="N242" t="s">
        <v>30</v>
      </c>
      <c r="O242" t="s">
        <v>31</v>
      </c>
      <c r="P242" t="s">
        <v>112</v>
      </c>
      <c r="Q242" t="s">
        <v>76</v>
      </c>
      <c r="R242" t="s">
        <v>168</v>
      </c>
      <c r="S242" t="s">
        <v>992</v>
      </c>
    </row>
    <row r="243" ht="55" customHeight="1" spans="1:19">
      <c r="A243" s="1" t="str">
        <f>_xlfn.DISPIMG("ID_D8C4B64548534CF5A8D2E4090FB0B11D",1)</f>
        <v>=DISPIMG("ID_D8C4B64548534CF5A8D2E4090FB0B11D",1)</v>
      </c>
      <c r="B243" t="s">
        <v>97</v>
      </c>
      <c r="C243" t="s">
        <v>993</v>
      </c>
      <c r="D243" t="s">
        <v>356</v>
      </c>
      <c r="E243" t="s">
        <v>50</v>
      </c>
      <c r="F243" t="s">
        <v>51</v>
      </c>
      <c r="G243" t="s">
        <v>152</v>
      </c>
      <c r="H243" t="s">
        <v>50</v>
      </c>
      <c r="I243" t="s">
        <v>42</v>
      </c>
      <c r="J243" t="s">
        <v>26</v>
      </c>
      <c r="K243" t="s">
        <v>27</v>
      </c>
      <c r="L243" t="s">
        <v>28</v>
      </c>
      <c r="M243" t="s">
        <v>29</v>
      </c>
      <c r="N243" t="s">
        <v>30</v>
      </c>
      <c r="O243" t="s">
        <v>31</v>
      </c>
      <c r="P243" t="s">
        <v>65</v>
      </c>
      <c r="Q243" t="s">
        <v>994</v>
      </c>
      <c r="R243" t="s">
        <v>104</v>
      </c>
      <c r="S243" t="s">
        <v>995</v>
      </c>
    </row>
    <row r="244" ht="55" customHeight="1" spans="1:19">
      <c r="A244" s="1" t="str">
        <f>_xlfn.DISPIMG("ID_B89E3479343E43DF81B968EECB750728",1)</f>
        <v>=DISPIMG("ID_B89E3479343E43DF81B968EECB750728",1)</v>
      </c>
      <c r="B244" t="s">
        <v>996</v>
      </c>
      <c r="C244" t="s">
        <v>997</v>
      </c>
      <c r="D244" t="s">
        <v>998</v>
      </c>
      <c r="E244" t="s">
        <v>63</v>
      </c>
      <c r="F244" t="s">
        <v>999</v>
      </c>
      <c r="G244" t="s">
        <v>229</v>
      </c>
      <c r="H244" t="s">
        <v>63</v>
      </c>
      <c r="I244" t="s">
        <v>137</v>
      </c>
      <c r="J244" t="s">
        <v>230</v>
      </c>
      <c r="K244" t="s">
        <v>27</v>
      </c>
      <c r="L244" t="s">
        <v>231</v>
      </c>
      <c r="M244" t="s">
        <v>29</v>
      </c>
      <c r="N244" t="s">
        <v>30</v>
      </c>
      <c r="O244" t="s">
        <v>31</v>
      </c>
      <c r="P244" t="s">
        <v>154</v>
      </c>
      <c r="Q244" t="s">
        <v>275</v>
      </c>
      <c r="R244" t="s">
        <v>456</v>
      </c>
      <c r="S244" t="s">
        <v>1000</v>
      </c>
    </row>
    <row r="245" ht="55" customHeight="1" spans="1:19">
      <c r="A245" s="1" t="str">
        <f>_xlfn.DISPIMG("ID_6A72EDACAEE540728068A5B58047D7C1",1)</f>
        <v>=DISPIMG("ID_6A72EDACAEE540728068A5B58047D7C1",1)</v>
      </c>
      <c r="B245" t="s">
        <v>366</v>
      </c>
      <c r="C245" t="s">
        <v>215</v>
      </c>
      <c r="D245" t="s">
        <v>466</v>
      </c>
      <c r="E245" t="s">
        <v>357</v>
      </c>
      <c r="F245" t="s">
        <v>245</v>
      </c>
      <c r="G245" t="s">
        <v>1001</v>
      </c>
      <c r="H245" t="s">
        <v>357</v>
      </c>
      <c r="I245" t="s">
        <v>165</v>
      </c>
      <c r="J245" t="s">
        <v>26</v>
      </c>
      <c r="K245" t="s">
        <v>27</v>
      </c>
      <c r="L245" t="s">
        <v>28</v>
      </c>
      <c r="M245" t="s">
        <v>93</v>
      </c>
      <c r="N245" t="s">
        <v>30</v>
      </c>
      <c r="O245" t="s">
        <v>31</v>
      </c>
      <c r="P245" t="s">
        <v>221</v>
      </c>
      <c r="Q245" t="s">
        <v>297</v>
      </c>
      <c r="R245" t="s">
        <v>370</v>
      </c>
      <c r="S245" t="s">
        <v>1002</v>
      </c>
    </row>
    <row r="246" ht="55" customHeight="1" spans="1:19">
      <c r="A246" s="1" t="str">
        <f>_xlfn.DISPIMG("ID_74C4EB491EBF430BAC528857BC2D34A9",1)</f>
        <v>=DISPIMG("ID_74C4EB491EBF430BAC528857BC2D34A9",1)</v>
      </c>
      <c r="B246" t="s">
        <v>69</v>
      </c>
      <c r="C246" t="s">
        <v>1003</v>
      </c>
      <c r="D246" t="s">
        <v>310</v>
      </c>
      <c r="E246" t="s">
        <v>900</v>
      </c>
      <c r="F246" t="s">
        <v>40</v>
      </c>
      <c r="G246" t="s">
        <v>127</v>
      </c>
      <c r="H246" t="s">
        <v>731</v>
      </c>
      <c r="I246" t="s">
        <v>25</v>
      </c>
      <c r="J246" t="s">
        <v>26</v>
      </c>
      <c r="K246" t="s">
        <v>27</v>
      </c>
      <c r="L246" t="s">
        <v>231</v>
      </c>
      <c r="M246" t="s">
        <v>29</v>
      </c>
      <c r="N246" t="s">
        <v>30</v>
      </c>
      <c r="O246" t="s">
        <v>31</v>
      </c>
      <c r="P246" t="s">
        <v>128</v>
      </c>
      <c r="Q246" t="s">
        <v>297</v>
      </c>
      <c r="R246" t="s">
        <v>77</v>
      </c>
      <c r="S246" t="s">
        <v>1004</v>
      </c>
    </row>
    <row r="247" ht="55" customHeight="1" spans="1:19">
      <c r="A247" s="1" t="str">
        <f>_xlfn.DISPIMG("ID_7DA67B12E6654F28BC1C4A8547BE9D47",1)</f>
        <v>=DISPIMG("ID_7DA67B12E6654F28BC1C4A8547BE9D47",1)</v>
      </c>
      <c r="B247" t="s">
        <v>257</v>
      </c>
      <c r="C247" t="s">
        <v>819</v>
      </c>
      <c r="D247" t="s">
        <v>425</v>
      </c>
      <c r="E247" t="s">
        <v>100</v>
      </c>
      <c r="F247" t="s">
        <v>51</v>
      </c>
      <c r="G247" t="s">
        <v>942</v>
      </c>
      <c r="H247" t="s">
        <v>100</v>
      </c>
      <c r="I247" t="s">
        <v>25</v>
      </c>
      <c r="J247" t="s">
        <v>26</v>
      </c>
      <c r="K247" t="s">
        <v>27</v>
      </c>
      <c r="L247" t="s">
        <v>74</v>
      </c>
      <c r="M247" t="s">
        <v>29</v>
      </c>
      <c r="N247" t="s">
        <v>30</v>
      </c>
      <c r="O247" t="s">
        <v>31</v>
      </c>
      <c r="P247" t="s">
        <v>463</v>
      </c>
      <c r="Q247" t="s">
        <v>369</v>
      </c>
      <c r="R247" t="s">
        <v>263</v>
      </c>
      <c r="S247" t="s">
        <v>1005</v>
      </c>
    </row>
    <row r="248" ht="55" customHeight="1" spans="1:19">
      <c r="A248" s="1" t="str">
        <f>_xlfn.DISPIMG("ID_C02F11C16F4D4A288C02C98519C2112B",1)</f>
        <v>=DISPIMG("ID_C02F11C16F4D4A288C02C98519C2112B",1)</v>
      </c>
      <c r="B248" t="s">
        <v>242</v>
      </c>
      <c r="C248" t="s">
        <v>258</v>
      </c>
      <c r="D248" t="s">
        <v>244</v>
      </c>
      <c r="E248" t="s">
        <v>164</v>
      </c>
      <c r="F248" t="s">
        <v>245</v>
      </c>
      <c r="G248" t="s">
        <v>246</v>
      </c>
      <c r="H248" t="s">
        <v>164</v>
      </c>
      <c r="I248" t="s">
        <v>165</v>
      </c>
      <c r="J248" t="s">
        <v>26</v>
      </c>
      <c r="K248" t="s">
        <v>27</v>
      </c>
      <c r="L248" t="s">
        <v>557</v>
      </c>
      <c r="M248" t="s">
        <v>93</v>
      </c>
      <c r="N248" t="s">
        <v>30</v>
      </c>
      <c r="O248" t="s">
        <v>31</v>
      </c>
      <c r="P248" t="s">
        <v>763</v>
      </c>
      <c r="Q248" t="s">
        <v>76</v>
      </c>
      <c r="R248" t="s">
        <v>249</v>
      </c>
      <c r="S248" t="s">
        <v>1006</v>
      </c>
    </row>
    <row r="249" ht="55" customHeight="1" spans="1:19">
      <c r="A249" s="1" t="str">
        <f>_xlfn.DISPIMG("ID_D8826D9FCC67411BB982C200236148AA",1)</f>
        <v>=DISPIMG("ID_D8826D9FCC67411BB982C200236148AA",1)</v>
      </c>
      <c r="B249" t="s">
        <v>465</v>
      </c>
      <c r="C249" t="s">
        <v>545</v>
      </c>
      <c r="D249" t="s">
        <v>118</v>
      </c>
      <c r="E249" t="s">
        <v>119</v>
      </c>
      <c r="F249" t="s">
        <v>40</v>
      </c>
      <c r="G249" t="s">
        <v>444</v>
      </c>
      <c r="H249" t="s">
        <v>119</v>
      </c>
      <c r="I249" t="s">
        <v>42</v>
      </c>
      <c r="J249" t="s">
        <v>26</v>
      </c>
      <c r="K249" t="s">
        <v>27</v>
      </c>
      <c r="L249" t="s">
        <v>74</v>
      </c>
      <c r="M249" t="s">
        <v>29</v>
      </c>
      <c r="N249" t="s">
        <v>30</v>
      </c>
      <c r="O249" t="s">
        <v>31</v>
      </c>
      <c r="P249" t="s">
        <v>351</v>
      </c>
      <c r="Q249" t="s">
        <v>255</v>
      </c>
      <c r="R249" t="s">
        <v>45</v>
      </c>
      <c r="S249" t="s">
        <v>1007</v>
      </c>
    </row>
    <row r="250" ht="55" customHeight="1" spans="1:19">
      <c r="A250" s="1" t="str">
        <f>_xlfn.DISPIMG("ID_64F656F280AE4D09B33E127ACBF71528",1)</f>
        <v>=DISPIMG("ID_64F656F280AE4D09B33E127ACBF71528",1)</v>
      </c>
      <c r="B250" t="s">
        <v>106</v>
      </c>
      <c r="C250" t="s">
        <v>910</v>
      </c>
      <c r="D250" t="s">
        <v>304</v>
      </c>
      <c r="E250" t="s">
        <v>305</v>
      </c>
      <c r="F250" t="s">
        <v>40</v>
      </c>
      <c r="G250" t="s">
        <v>73</v>
      </c>
      <c r="H250" t="s">
        <v>50</v>
      </c>
      <c r="I250" t="s">
        <v>42</v>
      </c>
      <c r="J250" t="s">
        <v>26</v>
      </c>
      <c r="K250" t="s">
        <v>27</v>
      </c>
      <c r="L250" t="s">
        <v>74</v>
      </c>
      <c r="M250" t="s">
        <v>29</v>
      </c>
      <c r="N250" t="s">
        <v>30</v>
      </c>
      <c r="O250" t="s">
        <v>31</v>
      </c>
      <c r="P250" t="s">
        <v>1008</v>
      </c>
      <c r="Q250" t="s">
        <v>539</v>
      </c>
      <c r="R250" t="s">
        <v>114</v>
      </c>
      <c r="S250" t="s">
        <v>1009</v>
      </c>
    </row>
    <row r="251" ht="55" customHeight="1" spans="1:19">
      <c r="A251" s="1" t="str">
        <f>_xlfn.DISPIMG("ID_F07C7623F7984431A19B1D5DE928FD5F",1)</f>
        <v>=DISPIMG("ID_F07C7623F7984431A19B1D5DE928FD5F",1)</v>
      </c>
      <c r="B251" t="s">
        <v>1010</v>
      </c>
      <c r="C251" t="s">
        <v>1011</v>
      </c>
      <c r="D251" t="s">
        <v>830</v>
      </c>
      <c r="E251" t="s">
        <v>316</v>
      </c>
      <c r="F251" t="s">
        <v>40</v>
      </c>
      <c r="G251" t="s">
        <v>1012</v>
      </c>
      <c r="H251" t="s">
        <v>641</v>
      </c>
      <c r="I251" t="s">
        <v>42</v>
      </c>
      <c r="J251" t="s">
        <v>26</v>
      </c>
      <c r="K251" t="s">
        <v>27</v>
      </c>
      <c r="L251" t="s">
        <v>28</v>
      </c>
      <c r="M251" t="s">
        <v>29</v>
      </c>
      <c r="N251" t="s">
        <v>30</v>
      </c>
      <c r="O251" t="s">
        <v>31</v>
      </c>
      <c r="P251" t="s">
        <v>1013</v>
      </c>
      <c r="Q251" t="s">
        <v>255</v>
      </c>
      <c r="R251" t="s">
        <v>147</v>
      </c>
      <c r="S251" t="s">
        <v>1014</v>
      </c>
    </row>
    <row r="252" ht="55" customHeight="1" spans="1:19">
      <c r="A252" s="1" t="str">
        <f>_xlfn.DISPIMG("ID_DD56E27014434774AF9374EB3BD52E44",1)</f>
        <v>=DISPIMG("ID_DD56E27014434774AF9374EB3BD52E44",1)</v>
      </c>
      <c r="B252" t="s">
        <v>214</v>
      </c>
      <c r="C252" t="s">
        <v>598</v>
      </c>
      <c r="D252" t="s">
        <v>327</v>
      </c>
      <c r="E252" t="s">
        <v>328</v>
      </c>
      <c r="F252" t="s">
        <v>91</v>
      </c>
      <c r="G252" t="s">
        <v>41</v>
      </c>
      <c r="H252" t="s">
        <v>119</v>
      </c>
      <c r="I252" t="s">
        <v>137</v>
      </c>
      <c r="J252" t="s">
        <v>26</v>
      </c>
      <c r="K252" t="s">
        <v>27</v>
      </c>
      <c r="L252" t="s">
        <v>28</v>
      </c>
      <c r="M252" t="s">
        <v>93</v>
      </c>
      <c r="N252" t="s">
        <v>30</v>
      </c>
      <c r="O252" t="s">
        <v>31</v>
      </c>
      <c r="P252" t="s">
        <v>463</v>
      </c>
      <c r="Q252" t="s">
        <v>76</v>
      </c>
      <c r="R252" t="s">
        <v>191</v>
      </c>
      <c r="S252" t="s">
        <v>1015</v>
      </c>
    </row>
    <row r="253" ht="55" customHeight="1" spans="1:19">
      <c r="A253" s="1" t="str">
        <f>_xlfn.DISPIMG("ID_8DD464CE1D7F4105A8831D58323C2632",1)</f>
        <v>=DISPIMG("ID_8DD464CE1D7F4105A8831D58323C2632",1)</v>
      </c>
      <c r="B253" t="s">
        <v>288</v>
      </c>
      <c r="C253" t="s">
        <v>266</v>
      </c>
      <c r="D253" t="s">
        <v>310</v>
      </c>
      <c r="E253" t="s">
        <v>900</v>
      </c>
      <c r="F253" t="s">
        <v>290</v>
      </c>
      <c r="G253" t="s">
        <v>41</v>
      </c>
      <c r="H253" t="s">
        <v>731</v>
      </c>
      <c r="I253" t="s">
        <v>42</v>
      </c>
      <c r="J253" t="s">
        <v>26</v>
      </c>
      <c r="K253" t="s">
        <v>27</v>
      </c>
      <c r="L253" t="s">
        <v>74</v>
      </c>
      <c r="M253" t="s">
        <v>93</v>
      </c>
      <c r="N253" t="s">
        <v>30</v>
      </c>
      <c r="O253" t="s">
        <v>31</v>
      </c>
      <c r="P253" t="s">
        <v>247</v>
      </c>
      <c r="Q253" t="s">
        <v>183</v>
      </c>
      <c r="R253" t="s">
        <v>293</v>
      </c>
      <c r="S253" t="s">
        <v>1016</v>
      </c>
    </row>
    <row r="254" ht="55" customHeight="1" spans="1:19">
      <c r="A254" s="1" t="str">
        <f>_xlfn.DISPIMG("ID_28A7C90EEBA74124940388738F5B46F0",1)</f>
        <v>=DISPIMG("ID_28A7C90EEBA74124940388738F5B46F0",1)</v>
      </c>
      <c r="B254" t="s">
        <v>924</v>
      </c>
      <c r="C254" t="s">
        <v>453</v>
      </c>
      <c r="D254" t="s">
        <v>1017</v>
      </c>
      <c r="E254" t="s">
        <v>50</v>
      </c>
      <c r="F254" t="s">
        <v>23</v>
      </c>
      <c r="G254" t="s">
        <v>229</v>
      </c>
      <c r="H254" t="s">
        <v>50</v>
      </c>
      <c r="I254" t="s">
        <v>25</v>
      </c>
      <c r="J254" t="s">
        <v>26</v>
      </c>
      <c r="K254" t="s">
        <v>27</v>
      </c>
      <c r="L254" t="s">
        <v>28</v>
      </c>
      <c r="M254" t="s">
        <v>29</v>
      </c>
      <c r="N254" t="s">
        <v>30</v>
      </c>
      <c r="O254" t="s">
        <v>31</v>
      </c>
      <c r="P254" t="s">
        <v>75</v>
      </c>
      <c r="Q254" t="s">
        <v>167</v>
      </c>
      <c r="R254" t="s">
        <v>981</v>
      </c>
      <c r="S254" t="s">
        <v>1018</v>
      </c>
    </row>
    <row r="255" ht="55" customHeight="1" spans="1:19">
      <c r="A255" s="1" t="str">
        <f>_xlfn.DISPIMG("ID_060540F803794698964380DEB45A8668",1)</f>
        <v>=DISPIMG("ID_060540F803794698964380DEB45A8668",1)</v>
      </c>
      <c r="B255" t="s">
        <v>106</v>
      </c>
      <c r="C255" t="s">
        <v>142</v>
      </c>
      <c r="D255" t="s">
        <v>750</v>
      </c>
      <c r="E255" t="s">
        <v>144</v>
      </c>
      <c r="F255" t="s">
        <v>40</v>
      </c>
      <c r="G255" t="s">
        <v>1019</v>
      </c>
      <c r="H255" t="s">
        <v>144</v>
      </c>
      <c r="I255" t="s">
        <v>42</v>
      </c>
      <c r="J255" t="s">
        <v>26</v>
      </c>
      <c r="K255" t="s">
        <v>27</v>
      </c>
      <c r="L255" t="s">
        <v>74</v>
      </c>
      <c r="M255" t="s">
        <v>29</v>
      </c>
      <c r="N255" t="s">
        <v>30</v>
      </c>
      <c r="O255" t="s">
        <v>31</v>
      </c>
      <c r="P255" t="s">
        <v>473</v>
      </c>
      <c r="Q255" t="s">
        <v>795</v>
      </c>
      <c r="R255" t="s">
        <v>147</v>
      </c>
      <c r="S255" t="s">
        <v>1020</v>
      </c>
    </row>
    <row r="256" ht="55" customHeight="1" spans="1:19">
      <c r="A256" s="1" t="str">
        <f>_xlfn.DISPIMG("ID_D1B4C42B2BE34A74872DEEB4C7956826",1)</f>
        <v>=DISPIMG("ID_D1B4C42B2BE34A74872DEEB4C7956826",1)</v>
      </c>
      <c r="B256" t="s">
        <v>338</v>
      </c>
      <c r="C256" t="s">
        <v>266</v>
      </c>
      <c r="D256" t="s">
        <v>99</v>
      </c>
      <c r="E256" t="s">
        <v>100</v>
      </c>
      <c r="F256" t="s">
        <v>91</v>
      </c>
      <c r="G256" t="s">
        <v>306</v>
      </c>
      <c r="H256" t="s">
        <v>100</v>
      </c>
      <c r="I256" t="s">
        <v>25</v>
      </c>
      <c r="J256" t="s">
        <v>26</v>
      </c>
      <c r="K256" t="s">
        <v>27</v>
      </c>
      <c r="L256" t="s">
        <v>74</v>
      </c>
      <c r="M256" t="s">
        <v>93</v>
      </c>
      <c r="N256" t="s">
        <v>30</v>
      </c>
      <c r="O256" t="s">
        <v>31</v>
      </c>
      <c r="P256" t="s">
        <v>146</v>
      </c>
      <c r="Q256" t="s">
        <v>85</v>
      </c>
      <c r="R256" t="s">
        <v>191</v>
      </c>
      <c r="S256" t="s">
        <v>1021</v>
      </c>
    </row>
    <row r="257" ht="55" customHeight="1" spans="1:19">
      <c r="A257" s="1" t="str">
        <f>_xlfn.DISPIMG("ID_467212762E0C413EA2C82B2C865F3D11",1)</f>
        <v>=DISPIMG("ID_467212762E0C413EA2C82B2C865F3D11",1)</v>
      </c>
      <c r="B257" t="s">
        <v>257</v>
      </c>
      <c r="C257" t="s">
        <v>851</v>
      </c>
      <c r="D257" t="s">
        <v>425</v>
      </c>
      <c r="E257" t="s">
        <v>100</v>
      </c>
      <c r="F257" t="s">
        <v>51</v>
      </c>
      <c r="G257" t="s">
        <v>101</v>
      </c>
      <c r="H257" t="s">
        <v>100</v>
      </c>
      <c r="I257" t="s">
        <v>25</v>
      </c>
      <c r="J257" t="s">
        <v>26</v>
      </c>
      <c r="K257" t="s">
        <v>27</v>
      </c>
      <c r="L257" t="s">
        <v>28</v>
      </c>
      <c r="M257" t="s">
        <v>29</v>
      </c>
      <c r="N257" t="s">
        <v>64</v>
      </c>
      <c r="O257" t="s">
        <v>31</v>
      </c>
      <c r="P257" t="s">
        <v>128</v>
      </c>
      <c r="Q257" t="s">
        <v>190</v>
      </c>
      <c r="R257" t="s">
        <v>263</v>
      </c>
      <c r="S257" t="s">
        <v>1022</v>
      </c>
    </row>
    <row r="258" ht="55" customHeight="1" spans="1:19">
      <c r="A258" s="1" t="str">
        <f>_xlfn.DISPIMG("ID_0387B5D15C14484C8068EF2F450A1521",1)</f>
        <v>=DISPIMG("ID_0387B5D15C14484C8068EF2F450A1521",1)</v>
      </c>
      <c r="B258" t="s">
        <v>97</v>
      </c>
      <c r="C258" t="s">
        <v>760</v>
      </c>
      <c r="D258" t="s">
        <v>134</v>
      </c>
      <c r="E258" t="s">
        <v>135</v>
      </c>
      <c r="F258" t="s">
        <v>51</v>
      </c>
      <c r="G258" t="s">
        <v>174</v>
      </c>
      <c r="H258" t="s">
        <v>135</v>
      </c>
      <c r="I258" t="s">
        <v>42</v>
      </c>
      <c r="J258" t="s">
        <v>26</v>
      </c>
      <c r="K258" t="s">
        <v>27</v>
      </c>
      <c r="L258" t="s">
        <v>28</v>
      </c>
      <c r="M258" t="s">
        <v>29</v>
      </c>
      <c r="N258" t="s">
        <v>30</v>
      </c>
      <c r="O258" t="s">
        <v>31</v>
      </c>
      <c r="P258" t="s">
        <v>112</v>
      </c>
      <c r="Q258" t="s">
        <v>1023</v>
      </c>
      <c r="R258" t="s">
        <v>104</v>
      </c>
      <c r="S258" t="s">
        <v>1024</v>
      </c>
    </row>
    <row r="259" ht="55" customHeight="1" spans="1:19">
      <c r="A259" s="1" t="str">
        <f>_xlfn.DISPIMG("ID_EC93BAC3E0FF48F4AB982B04FB86365B",1)</f>
        <v>=DISPIMG("ID_EC93BAC3E0FF48F4AB982B04FB86365B",1)</v>
      </c>
      <c r="B259" t="s">
        <v>257</v>
      </c>
      <c r="C259" t="s">
        <v>1025</v>
      </c>
      <c r="D259" t="s">
        <v>499</v>
      </c>
      <c r="E259" t="s">
        <v>119</v>
      </c>
      <c r="F259" t="s">
        <v>51</v>
      </c>
      <c r="G259" t="s">
        <v>1026</v>
      </c>
      <c r="H259" t="s">
        <v>119</v>
      </c>
      <c r="I259" t="s">
        <v>25</v>
      </c>
      <c r="J259" t="s">
        <v>26</v>
      </c>
      <c r="K259" t="s">
        <v>27</v>
      </c>
      <c r="L259" t="s">
        <v>74</v>
      </c>
      <c r="M259" t="s">
        <v>29</v>
      </c>
      <c r="N259" t="s">
        <v>30</v>
      </c>
      <c r="O259" t="s">
        <v>31</v>
      </c>
      <c r="P259" t="s">
        <v>75</v>
      </c>
      <c r="Q259" t="s">
        <v>1027</v>
      </c>
      <c r="R259" t="s">
        <v>263</v>
      </c>
      <c r="S259" t="s">
        <v>1028</v>
      </c>
    </row>
    <row r="260" ht="55" customHeight="1" spans="1:19">
      <c r="A260" s="1" t="str">
        <f>_xlfn.DISPIMG("ID_6B02EBEE61D54EC2A32785ABAF305031",1)</f>
        <v>=DISPIMG("ID_6B02EBEE61D54EC2A32785ABAF305031",1)</v>
      </c>
      <c r="B260" t="s">
        <v>116</v>
      </c>
      <c r="C260" t="s">
        <v>1029</v>
      </c>
      <c r="D260" t="s">
        <v>118</v>
      </c>
      <c r="E260" t="s">
        <v>119</v>
      </c>
      <c r="F260" t="s">
        <v>40</v>
      </c>
      <c r="G260" t="s">
        <v>444</v>
      </c>
      <c r="H260" t="s">
        <v>119</v>
      </c>
      <c r="I260" t="s">
        <v>42</v>
      </c>
      <c r="J260" t="s">
        <v>26</v>
      </c>
      <c r="K260" t="s">
        <v>27</v>
      </c>
      <c r="L260" t="s">
        <v>53</v>
      </c>
      <c r="M260" t="s">
        <v>29</v>
      </c>
      <c r="N260" t="s">
        <v>64</v>
      </c>
      <c r="O260" t="s">
        <v>31</v>
      </c>
      <c r="P260" t="s">
        <v>1030</v>
      </c>
      <c r="Q260" t="s">
        <v>155</v>
      </c>
      <c r="R260" t="s">
        <v>45</v>
      </c>
      <c r="S260" t="s">
        <v>1031</v>
      </c>
    </row>
    <row r="261" ht="55" customHeight="1" spans="1:19">
      <c r="A261" s="1" t="str">
        <f>_xlfn.DISPIMG("ID_74C229EA9FB54C72818D4F94E8EAD4A9",1)</f>
        <v>=DISPIMG("ID_74C229EA9FB54C72818D4F94E8EAD4A9",1)</v>
      </c>
      <c r="B261" t="s">
        <v>282</v>
      </c>
      <c r="C261" t="s">
        <v>1032</v>
      </c>
      <c r="D261" t="s">
        <v>556</v>
      </c>
      <c r="E261" t="s">
        <v>72</v>
      </c>
      <c r="F261" t="s">
        <v>40</v>
      </c>
      <c r="G261" t="s">
        <v>306</v>
      </c>
      <c r="H261" t="s">
        <v>72</v>
      </c>
      <c r="I261" t="s">
        <v>42</v>
      </c>
      <c r="J261" t="s">
        <v>26</v>
      </c>
      <c r="K261" t="s">
        <v>27</v>
      </c>
      <c r="L261" t="s">
        <v>74</v>
      </c>
      <c r="M261" t="s">
        <v>29</v>
      </c>
      <c r="N261" t="s">
        <v>30</v>
      </c>
      <c r="O261" t="s">
        <v>31</v>
      </c>
      <c r="P261" t="s">
        <v>75</v>
      </c>
      <c r="Q261" t="s">
        <v>352</v>
      </c>
      <c r="R261" t="s">
        <v>1033</v>
      </c>
      <c r="S261" t="s">
        <v>1034</v>
      </c>
    </row>
    <row r="262" ht="55" customHeight="1" spans="1:19">
      <c r="A262" s="1" t="str">
        <f>_xlfn.DISPIMG("ID_7D1325CCFA2749ED930A946D41FF94D8",1)</f>
        <v>=DISPIMG("ID_7D1325CCFA2749ED930A946D41FF94D8",1)</v>
      </c>
      <c r="B262" t="s">
        <v>465</v>
      </c>
      <c r="C262" t="s">
        <v>727</v>
      </c>
      <c r="D262" t="s">
        <v>210</v>
      </c>
      <c r="E262" t="s">
        <v>211</v>
      </c>
      <c r="F262" t="s">
        <v>40</v>
      </c>
      <c r="G262" t="s">
        <v>306</v>
      </c>
      <c r="H262" t="s">
        <v>211</v>
      </c>
      <c r="I262" t="s">
        <v>42</v>
      </c>
      <c r="J262" t="s">
        <v>26</v>
      </c>
      <c r="K262" t="s">
        <v>27</v>
      </c>
      <c r="L262" t="s">
        <v>28</v>
      </c>
      <c r="M262" t="s">
        <v>29</v>
      </c>
      <c r="N262" t="s">
        <v>30</v>
      </c>
      <c r="O262" t="s">
        <v>31</v>
      </c>
      <c r="P262" t="s">
        <v>138</v>
      </c>
      <c r="Q262" t="s">
        <v>468</v>
      </c>
      <c r="R262" t="s">
        <v>45</v>
      </c>
      <c r="S262" t="s">
        <v>1035</v>
      </c>
    </row>
    <row r="263" ht="55" customHeight="1" spans="1:19">
      <c r="A263" s="1" t="str">
        <f>_xlfn.DISPIMG("ID_39714148D6FE453E83D8BD2093E8AEF1",1)</f>
        <v>=DISPIMG("ID_39714148D6FE453E83D8BD2093E8AEF1",1)</v>
      </c>
      <c r="B263" t="s">
        <v>36</v>
      </c>
      <c r="C263" t="s">
        <v>1036</v>
      </c>
      <c r="D263" t="s">
        <v>1037</v>
      </c>
      <c r="E263" t="s">
        <v>161</v>
      </c>
      <c r="F263" t="s">
        <v>40</v>
      </c>
      <c r="G263" t="s">
        <v>724</v>
      </c>
      <c r="H263" t="s">
        <v>164</v>
      </c>
      <c r="I263" t="s">
        <v>42</v>
      </c>
      <c r="J263" t="s">
        <v>26</v>
      </c>
      <c r="K263" t="s">
        <v>27</v>
      </c>
      <c r="L263" t="s">
        <v>28</v>
      </c>
      <c r="M263" t="s">
        <v>29</v>
      </c>
      <c r="N263" t="s">
        <v>64</v>
      </c>
      <c r="O263" t="s">
        <v>31</v>
      </c>
      <c r="P263" t="s">
        <v>138</v>
      </c>
      <c r="Q263" t="s">
        <v>275</v>
      </c>
      <c r="R263" t="s">
        <v>45</v>
      </c>
      <c r="S263" t="s">
        <v>1038</v>
      </c>
    </row>
    <row r="264" ht="55" customHeight="1" spans="1:19">
      <c r="A264" s="1" t="str">
        <f>_xlfn.DISPIMG("ID_906EF9DC2C7A40BB9EC29FC6AB9B9324",1)</f>
        <v>=DISPIMG("ID_906EF9DC2C7A40BB9EC29FC6AB9B9324",1)</v>
      </c>
      <c r="B264" t="s">
        <v>366</v>
      </c>
      <c r="C264" t="s">
        <v>258</v>
      </c>
      <c r="D264" t="s">
        <v>556</v>
      </c>
      <c r="E264" t="s">
        <v>72</v>
      </c>
      <c r="F264" t="s">
        <v>245</v>
      </c>
      <c r="G264" t="s">
        <v>246</v>
      </c>
      <c r="H264" t="s">
        <v>197</v>
      </c>
      <c r="I264" t="s">
        <v>165</v>
      </c>
      <c r="J264" t="s">
        <v>26</v>
      </c>
      <c r="K264" t="s">
        <v>27</v>
      </c>
      <c r="L264" t="s">
        <v>557</v>
      </c>
      <c r="M264" t="s">
        <v>93</v>
      </c>
      <c r="N264" t="s">
        <v>30</v>
      </c>
      <c r="O264" t="s">
        <v>31</v>
      </c>
      <c r="P264" t="s">
        <v>1039</v>
      </c>
      <c r="Q264" t="s">
        <v>76</v>
      </c>
      <c r="R264" t="s">
        <v>370</v>
      </c>
      <c r="S264" t="s">
        <v>1040</v>
      </c>
    </row>
    <row r="265" ht="55" customHeight="1" spans="1:19">
      <c r="A265" s="1" t="str">
        <f>_xlfn.DISPIMG("ID_48F25D63C1CF4C88BD78BE231E77AD08",1)</f>
        <v>=DISPIMG("ID_48F25D63C1CF4C88BD78BE231E77AD08",1)</v>
      </c>
      <c r="B265" t="s">
        <v>854</v>
      </c>
      <c r="C265" t="s">
        <v>411</v>
      </c>
      <c r="D265" t="s">
        <v>1037</v>
      </c>
      <c r="E265" t="s">
        <v>1041</v>
      </c>
      <c r="F265" t="s">
        <v>40</v>
      </c>
      <c r="G265" t="s">
        <v>638</v>
      </c>
      <c r="H265" t="s">
        <v>659</v>
      </c>
      <c r="I265" t="s">
        <v>25</v>
      </c>
      <c r="J265" t="s">
        <v>26</v>
      </c>
      <c r="K265" t="s">
        <v>27</v>
      </c>
      <c r="L265" t="s">
        <v>74</v>
      </c>
      <c r="M265" t="s">
        <v>29</v>
      </c>
      <c r="N265" t="s">
        <v>30</v>
      </c>
      <c r="O265" t="s">
        <v>31</v>
      </c>
      <c r="P265" t="s">
        <v>301</v>
      </c>
      <c r="Q265" t="s">
        <v>66</v>
      </c>
      <c r="R265" t="s">
        <v>945</v>
      </c>
      <c r="S265" t="s">
        <v>1042</v>
      </c>
    </row>
    <row r="266" ht="55" customHeight="1" spans="1:19">
      <c r="A266" s="1" t="str">
        <f>_xlfn.DISPIMG("ID_8EAAADCE46F24B26BF274C919A7C63A9",1)</f>
        <v>=DISPIMG("ID_8EAAADCE46F24B26BF274C919A7C63A9",1)</v>
      </c>
      <c r="B266" t="s">
        <v>465</v>
      </c>
      <c r="C266" t="s">
        <v>1043</v>
      </c>
      <c r="D266" t="s">
        <v>483</v>
      </c>
      <c r="E266" t="s">
        <v>328</v>
      </c>
      <c r="F266" t="s">
        <v>40</v>
      </c>
      <c r="G266" t="s">
        <v>1044</v>
      </c>
      <c r="H266" t="s">
        <v>119</v>
      </c>
      <c r="I266" t="s">
        <v>42</v>
      </c>
      <c r="J266" t="s">
        <v>26</v>
      </c>
      <c r="K266" t="s">
        <v>27</v>
      </c>
      <c r="L266" t="s">
        <v>74</v>
      </c>
      <c r="M266" t="s">
        <v>29</v>
      </c>
      <c r="N266" t="s">
        <v>30</v>
      </c>
      <c r="O266" t="s">
        <v>31</v>
      </c>
      <c r="P266" t="s">
        <v>54</v>
      </c>
      <c r="Q266" t="s">
        <v>1045</v>
      </c>
      <c r="R266" t="s">
        <v>1046</v>
      </c>
      <c r="S266" t="s">
        <v>1047</v>
      </c>
    </row>
    <row r="267" ht="55" customHeight="1" spans="1:19">
      <c r="A267" s="1" t="str">
        <f>_xlfn.DISPIMG("ID_D68C07F14EE7457A947A64C58A9593BF",1)</f>
        <v>=DISPIMG("ID_D68C07F14EE7457A947A64C58A9593BF",1)</v>
      </c>
      <c r="B267" t="s">
        <v>1048</v>
      </c>
      <c r="C267" t="s">
        <v>1049</v>
      </c>
      <c r="D267" t="s">
        <v>1037</v>
      </c>
      <c r="E267" t="s">
        <v>161</v>
      </c>
      <c r="F267" t="s">
        <v>770</v>
      </c>
      <c r="G267" t="s">
        <v>740</v>
      </c>
      <c r="H267" t="s">
        <v>164</v>
      </c>
      <c r="I267" t="s">
        <v>25</v>
      </c>
      <c r="J267" t="s">
        <v>26</v>
      </c>
      <c r="K267" t="s">
        <v>27</v>
      </c>
      <c r="L267" t="s">
        <v>74</v>
      </c>
      <c r="M267" t="s">
        <v>29</v>
      </c>
      <c r="N267" t="s">
        <v>30</v>
      </c>
      <c r="O267" t="s">
        <v>153</v>
      </c>
      <c r="P267" t="s">
        <v>128</v>
      </c>
      <c r="Q267" t="s">
        <v>275</v>
      </c>
      <c r="R267" t="s">
        <v>771</v>
      </c>
      <c r="S267" t="s">
        <v>1050</v>
      </c>
    </row>
    <row r="268" ht="55" customHeight="1" spans="1:19">
      <c r="A268" s="1" t="str">
        <f>_xlfn.DISPIMG("ID_AA844856CDBC4B31A414C83F45631845",1)</f>
        <v>=DISPIMG("ID_AA844856CDBC4B31A414C83F45631845",1)</v>
      </c>
      <c r="B268" t="s">
        <v>149</v>
      </c>
      <c r="C268" t="s">
        <v>1051</v>
      </c>
      <c r="D268" t="s">
        <v>315</v>
      </c>
      <c r="E268" t="s">
        <v>641</v>
      </c>
      <c r="F268" t="s">
        <v>51</v>
      </c>
      <c r="G268" t="s">
        <v>174</v>
      </c>
      <c r="H268" t="s">
        <v>641</v>
      </c>
      <c r="I268" t="s">
        <v>25</v>
      </c>
      <c r="J268" t="s">
        <v>26</v>
      </c>
      <c r="K268" t="s">
        <v>27</v>
      </c>
      <c r="L268" t="s">
        <v>74</v>
      </c>
      <c r="M268" t="s">
        <v>29</v>
      </c>
      <c r="N268" t="s">
        <v>30</v>
      </c>
      <c r="O268" t="s">
        <v>153</v>
      </c>
      <c r="P268" t="s">
        <v>1052</v>
      </c>
      <c r="Q268" t="s">
        <v>612</v>
      </c>
      <c r="R268" t="s">
        <v>156</v>
      </c>
      <c r="S268" t="s">
        <v>1053</v>
      </c>
    </row>
    <row r="269" ht="55" customHeight="1" spans="1:19">
      <c r="A269" s="1" t="str">
        <f>_xlfn.DISPIMG("ID_2C1A333B9AF64158857433C9AADE6ECA",1)</f>
        <v>=DISPIMG("ID_2C1A333B9AF64158857433C9AADE6ECA",1)</v>
      </c>
      <c r="B269" t="s">
        <v>149</v>
      </c>
      <c r="C269" t="s">
        <v>1054</v>
      </c>
      <c r="D269" t="s">
        <v>695</v>
      </c>
      <c r="E269" t="s">
        <v>900</v>
      </c>
      <c r="F269" t="s">
        <v>51</v>
      </c>
      <c r="G269" t="s">
        <v>1055</v>
      </c>
      <c r="H269" t="s">
        <v>731</v>
      </c>
      <c r="I269" t="s">
        <v>25</v>
      </c>
      <c r="J269" t="s">
        <v>26</v>
      </c>
      <c r="K269" t="s">
        <v>27</v>
      </c>
      <c r="L269" t="s">
        <v>74</v>
      </c>
      <c r="M269" t="s">
        <v>29</v>
      </c>
      <c r="N269" t="s">
        <v>30</v>
      </c>
      <c r="O269" t="s">
        <v>153</v>
      </c>
      <c r="P269" t="s">
        <v>463</v>
      </c>
      <c r="Q269" t="s">
        <v>1056</v>
      </c>
      <c r="R269" t="s">
        <v>156</v>
      </c>
      <c r="S269" t="s">
        <v>1057</v>
      </c>
    </row>
    <row r="270" ht="55" customHeight="1" spans="1:19">
      <c r="A270" s="1" t="str">
        <f>_xlfn.DISPIMG("ID_8A30F4C7FCB14AC39EFE56AB0879E7C5",1)</f>
        <v>=DISPIMG("ID_8A30F4C7FCB14AC39EFE56AB0879E7C5",1)</v>
      </c>
      <c r="B270" t="s">
        <v>465</v>
      </c>
      <c r="C270" t="s">
        <v>839</v>
      </c>
      <c r="D270" t="s">
        <v>1037</v>
      </c>
      <c r="E270" t="s">
        <v>161</v>
      </c>
      <c r="F270" t="s">
        <v>40</v>
      </c>
      <c r="G270" t="s">
        <v>296</v>
      </c>
      <c r="H270" t="s">
        <v>164</v>
      </c>
      <c r="I270" t="s">
        <v>42</v>
      </c>
      <c r="J270" t="s">
        <v>26</v>
      </c>
      <c r="K270" t="s">
        <v>27</v>
      </c>
      <c r="L270" t="s">
        <v>28</v>
      </c>
      <c r="M270" t="s">
        <v>29</v>
      </c>
      <c r="N270" t="s">
        <v>30</v>
      </c>
      <c r="O270" t="s">
        <v>31</v>
      </c>
      <c r="P270" t="s">
        <v>75</v>
      </c>
      <c r="Q270" t="s">
        <v>468</v>
      </c>
      <c r="R270" t="s">
        <v>45</v>
      </c>
      <c r="S270" t="s">
        <v>1058</v>
      </c>
    </row>
    <row r="271" ht="55" customHeight="1" spans="1:19">
      <c r="A271" s="1" t="str">
        <f>_xlfn.DISPIMG("ID_26DECCA092EC4153840CEDDFE911974A",1)</f>
        <v>=DISPIMG("ID_26DECCA092EC4153840CEDDFE911974A",1)</v>
      </c>
      <c r="B271" t="s">
        <v>214</v>
      </c>
      <c r="C271" t="s">
        <v>362</v>
      </c>
      <c r="D271" t="s">
        <v>552</v>
      </c>
      <c r="E271" t="s">
        <v>507</v>
      </c>
      <c r="F271" t="s">
        <v>91</v>
      </c>
      <c r="G271" t="s">
        <v>41</v>
      </c>
      <c r="H271" t="s">
        <v>135</v>
      </c>
      <c r="I271" t="s">
        <v>137</v>
      </c>
      <c r="J271" t="s">
        <v>26</v>
      </c>
      <c r="K271" t="s">
        <v>27</v>
      </c>
      <c r="L271" t="s">
        <v>329</v>
      </c>
      <c r="M271" t="s">
        <v>93</v>
      </c>
      <c r="N271" t="s">
        <v>30</v>
      </c>
      <c r="O271" t="s">
        <v>31</v>
      </c>
      <c r="P271" t="s">
        <v>182</v>
      </c>
      <c r="Q271" t="s">
        <v>76</v>
      </c>
      <c r="R271" t="s">
        <v>191</v>
      </c>
      <c r="S271" t="s">
        <v>1059</v>
      </c>
    </row>
    <row r="272" ht="55" customHeight="1" spans="1:19">
      <c r="A272" s="1" t="str">
        <f>_xlfn.DISPIMG("ID_06829B560F044559A8BF62A5C1ECFD9C",1)</f>
        <v>=DISPIMG("ID_06829B560F044559A8BF62A5C1ECFD9C",1)</v>
      </c>
      <c r="B272" t="s">
        <v>1060</v>
      </c>
      <c r="C272" t="s">
        <v>258</v>
      </c>
      <c r="D272" t="s">
        <v>356</v>
      </c>
      <c r="E272" t="s">
        <v>50</v>
      </c>
      <c r="F272" t="s">
        <v>91</v>
      </c>
      <c r="G272" t="s">
        <v>538</v>
      </c>
      <c r="H272" t="s">
        <v>50</v>
      </c>
      <c r="I272" t="s">
        <v>42</v>
      </c>
      <c r="J272" t="s">
        <v>26</v>
      </c>
      <c r="K272" t="s">
        <v>27</v>
      </c>
      <c r="L272" t="s">
        <v>28</v>
      </c>
      <c r="M272" t="s">
        <v>93</v>
      </c>
      <c r="N272" t="s">
        <v>30</v>
      </c>
      <c r="O272" t="s">
        <v>31</v>
      </c>
      <c r="P272" t="s">
        <v>261</v>
      </c>
      <c r="Q272" t="s">
        <v>879</v>
      </c>
      <c r="R272" t="s">
        <v>130</v>
      </c>
      <c r="S272" t="s">
        <v>1061</v>
      </c>
    </row>
    <row r="273" ht="55" customHeight="1" spans="1:19">
      <c r="A273" s="1" t="str">
        <f>_xlfn.DISPIMG("ID_315D219404AE4EC48F2BBA0B9D0EB6C7",1)</f>
        <v>=DISPIMG("ID_315D219404AE4EC48F2BBA0B9D0EB6C7",1)</v>
      </c>
      <c r="B273" t="s">
        <v>58</v>
      </c>
      <c r="C273" t="s">
        <v>1062</v>
      </c>
      <c r="D273" t="s">
        <v>90</v>
      </c>
      <c r="E273" t="s">
        <v>39</v>
      </c>
      <c r="F273" t="s">
        <v>51</v>
      </c>
      <c r="G273" t="s">
        <v>127</v>
      </c>
      <c r="H273" t="s">
        <v>39</v>
      </c>
      <c r="I273" t="s">
        <v>42</v>
      </c>
      <c r="J273" t="s">
        <v>26</v>
      </c>
      <c r="K273" t="s">
        <v>27</v>
      </c>
      <c r="L273" t="s">
        <v>74</v>
      </c>
      <c r="M273" t="s">
        <v>29</v>
      </c>
      <c r="N273" t="s">
        <v>30</v>
      </c>
      <c r="O273" t="s">
        <v>31</v>
      </c>
      <c r="P273" t="s">
        <v>75</v>
      </c>
      <c r="Q273" t="s">
        <v>752</v>
      </c>
      <c r="R273" t="s">
        <v>409</v>
      </c>
      <c r="S273" t="s">
        <v>1063</v>
      </c>
    </row>
    <row r="274" ht="55" customHeight="1" spans="1:19">
      <c r="A274" s="1" t="str">
        <f>_xlfn.DISPIMG("ID_5F576E005FD74816A7BDC1D622011548",1)</f>
        <v>=DISPIMG("ID_5F576E005FD74816A7BDC1D622011548",1)</v>
      </c>
      <c r="B274" t="s">
        <v>236</v>
      </c>
      <c r="C274" t="s">
        <v>972</v>
      </c>
      <c r="D274" t="s">
        <v>60</v>
      </c>
      <c r="E274" t="s">
        <v>238</v>
      </c>
      <c r="F274" t="s">
        <v>51</v>
      </c>
      <c r="G274" t="s">
        <v>744</v>
      </c>
      <c r="H274" t="s">
        <v>238</v>
      </c>
      <c r="I274" t="s">
        <v>42</v>
      </c>
      <c r="J274" t="s">
        <v>26</v>
      </c>
      <c r="K274" t="s">
        <v>27</v>
      </c>
      <c r="L274" t="s">
        <v>28</v>
      </c>
      <c r="M274" t="s">
        <v>29</v>
      </c>
      <c r="N274" t="s">
        <v>30</v>
      </c>
      <c r="O274" t="s">
        <v>31</v>
      </c>
      <c r="P274" t="s">
        <v>1064</v>
      </c>
      <c r="Q274" t="s">
        <v>122</v>
      </c>
      <c r="R274" t="s">
        <v>104</v>
      </c>
      <c r="S274" t="s">
        <v>1065</v>
      </c>
    </row>
    <row r="275" ht="55" customHeight="1" spans="1:19">
      <c r="A275" s="1" t="str">
        <f>_xlfn.DISPIMG("ID_B9C02BAE745A41BDAE19542162585C1F",1)</f>
        <v>=DISPIMG("ID_B9C02BAE745A41BDAE19542162585C1F",1)</v>
      </c>
      <c r="B275" t="s">
        <v>242</v>
      </c>
      <c r="C275" t="s">
        <v>680</v>
      </c>
      <c r="D275" t="s">
        <v>466</v>
      </c>
      <c r="E275" t="s">
        <v>357</v>
      </c>
      <c r="F275" t="s">
        <v>245</v>
      </c>
      <c r="G275" t="s">
        <v>582</v>
      </c>
      <c r="H275" t="s">
        <v>357</v>
      </c>
      <c r="I275" t="s">
        <v>165</v>
      </c>
      <c r="J275" t="s">
        <v>26</v>
      </c>
      <c r="K275" t="s">
        <v>27</v>
      </c>
      <c r="L275" t="s">
        <v>231</v>
      </c>
      <c r="M275" t="s">
        <v>93</v>
      </c>
      <c r="N275" t="s">
        <v>30</v>
      </c>
      <c r="O275" t="s">
        <v>31</v>
      </c>
      <c r="P275" t="s">
        <v>112</v>
      </c>
      <c r="Q275" t="s">
        <v>55</v>
      </c>
      <c r="R275" t="s">
        <v>249</v>
      </c>
      <c r="S275" t="s">
        <v>1066</v>
      </c>
    </row>
    <row r="276" ht="55" customHeight="1" spans="1:19">
      <c r="A276" s="1" t="str">
        <f>_xlfn.DISPIMG("ID_E153980619444FD0B0566EB96DE6B50D",1)</f>
        <v>=DISPIMG("ID_E153980619444FD0B0566EB96DE6B50D",1)</v>
      </c>
      <c r="B276" t="s">
        <v>282</v>
      </c>
      <c r="C276" t="s">
        <v>1049</v>
      </c>
      <c r="D276" t="s">
        <v>577</v>
      </c>
      <c r="E276" t="s">
        <v>311</v>
      </c>
      <c r="F276" t="s">
        <v>40</v>
      </c>
      <c r="G276" t="s">
        <v>334</v>
      </c>
      <c r="H276" t="s">
        <v>39</v>
      </c>
      <c r="I276" t="s">
        <v>42</v>
      </c>
      <c r="J276" t="s">
        <v>26</v>
      </c>
      <c r="K276" t="s">
        <v>27</v>
      </c>
      <c r="L276" t="s">
        <v>28</v>
      </c>
      <c r="M276" t="s">
        <v>29</v>
      </c>
      <c r="N276" t="s">
        <v>30</v>
      </c>
      <c r="O276" t="s">
        <v>31</v>
      </c>
      <c r="P276" t="s">
        <v>75</v>
      </c>
      <c r="Q276" t="s">
        <v>415</v>
      </c>
      <c r="R276" t="s">
        <v>45</v>
      </c>
      <c r="S276" t="s">
        <v>1067</v>
      </c>
    </row>
    <row r="277" ht="55" customHeight="1" spans="1:19">
      <c r="A277" s="1" t="str">
        <f>_xlfn.DISPIMG("ID_968F082D037E4A03B67A9D90593B6F0D",1)</f>
        <v>=DISPIMG("ID_968F082D037E4A03B67A9D90593B6F0D",1)</v>
      </c>
      <c r="B277" t="s">
        <v>236</v>
      </c>
      <c r="C277" t="s">
        <v>651</v>
      </c>
      <c r="D277" t="s">
        <v>442</v>
      </c>
      <c r="E277" t="s">
        <v>82</v>
      </c>
      <c r="F277" t="s">
        <v>51</v>
      </c>
      <c r="G277" t="s">
        <v>1068</v>
      </c>
      <c r="H277" t="s">
        <v>84</v>
      </c>
      <c r="I277" t="s">
        <v>42</v>
      </c>
      <c r="J277" t="s">
        <v>26</v>
      </c>
      <c r="K277" t="s">
        <v>27</v>
      </c>
      <c r="L277" t="s">
        <v>28</v>
      </c>
      <c r="M277" t="s">
        <v>29</v>
      </c>
      <c r="N277" t="s">
        <v>30</v>
      </c>
      <c r="O277" t="s">
        <v>31</v>
      </c>
      <c r="P277" t="s">
        <v>473</v>
      </c>
      <c r="Q277" t="s">
        <v>183</v>
      </c>
      <c r="R277" t="s">
        <v>104</v>
      </c>
      <c r="S277" t="s">
        <v>1069</v>
      </c>
    </row>
    <row r="278" ht="55" customHeight="1" spans="1:19">
      <c r="A278" s="1" t="str">
        <f>_xlfn.DISPIMG("ID_977630A03BB0407B825D286ECF161567",1)</f>
        <v>=DISPIMG("ID_977630A03BB0407B825D286ECF161567",1)</v>
      </c>
      <c r="B278" t="s">
        <v>406</v>
      </c>
      <c r="C278" t="s">
        <v>1070</v>
      </c>
      <c r="D278" t="s">
        <v>524</v>
      </c>
      <c r="E278" t="s">
        <v>63</v>
      </c>
      <c r="F278" t="s">
        <v>40</v>
      </c>
      <c r="G278" t="s">
        <v>127</v>
      </c>
      <c r="H278" t="s">
        <v>238</v>
      </c>
      <c r="I278" t="s">
        <v>42</v>
      </c>
      <c r="J278" t="s">
        <v>26</v>
      </c>
      <c r="K278" t="s">
        <v>27</v>
      </c>
      <c r="L278" t="s">
        <v>53</v>
      </c>
      <c r="M278" t="s">
        <v>29</v>
      </c>
      <c r="N278" t="s">
        <v>661</v>
      </c>
      <c r="O278" t="s">
        <v>31</v>
      </c>
      <c r="P278" t="s">
        <v>351</v>
      </c>
      <c r="Q278" t="s">
        <v>1071</v>
      </c>
      <c r="R278" t="s">
        <v>409</v>
      </c>
      <c r="S278" t="s">
        <v>1072</v>
      </c>
    </row>
    <row r="279" ht="55" customHeight="1" spans="1:19">
      <c r="A279" s="1" t="str">
        <f>_xlfn.DISPIMG("ID_4FF33DD899354BECBEB1F0879CA97B7D",1)</f>
        <v>=DISPIMG("ID_4FF33DD899354BECBEB1F0879CA97B7D",1)</v>
      </c>
      <c r="B279" t="s">
        <v>893</v>
      </c>
      <c r="C279" t="s">
        <v>715</v>
      </c>
      <c r="D279" t="s">
        <v>90</v>
      </c>
      <c r="E279" t="s">
        <v>39</v>
      </c>
      <c r="F279" t="s">
        <v>401</v>
      </c>
      <c r="G279" t="s">
        <v>1068</v>
      </c>
      <c r="H279" t="s">
        <v>39</v>
      </c>
      <c r="I279" t="s">
        <v>175</v>
      </c>
      <c r="J279" t="s">
        <v>26</v>
      </c>
      <c r="K279" t="s">
        <v>27</v>
      </c>
      <c r="L279" t="s">
        <v>28</v>
      </c>
      <c r="M279" t="s">
        <v>403</v>
      </c>
      <c r="N279" t="s">
        <v>30</v>
      </c>
      <c r="O279" t="s">
        <v>404</v>
      </c>
      <c r="P279" t="s">
        <v>65</v>
      </c>
      <c r="Q279" t="s">
        <v>113</v>
      </c>
      <c r="R279" t="s">
        <v>324</v>
      </c>
      <c r="S279" t="s">
        <v>1073</v>
      </c>
    </row>
    <row r="280" ht="55" customHeight="1" spans="1:19">
      <c r="A280" s="1" t="str">
        <f>_xlfn.DISPIMG("ID_EEEE76F64964445CBFE21F6374FE7024",1)</f>
        <v>=DISPIMG("ID_EEEE76F64964445CBFE21F6374FE7024",1)</v>
      </c>
      <c r="B280" t="s">
        <v>1074</v>
      </c>
      <c r="C280" t="s">
        <v>1075</v>
      </c>
      <c r="D280" t="s">
        <v>957</v>
      </c>
      <c r="E280" t="s">
        <v>63</v>
      </c>
      <c r="F280" t="s">
        <v>228</v>
      </c>
      <c r="G280" t="s">
        <v>1076</v>
      </c>
      <c r="H280" t="s">
        <v>63</v>
      </c>
      <c r="I280" t="s">
        <v>165</v>
      </c>
      <c r="J280" t="s">
        <v>26</v>
      </c>
      <c r="K280" t="s">
        <v>27</v>
      </c>
      <c r="L280" t="s">
        <v>28</v>
      </c>
      <c r="M280" t="s">
        <v>232</v>
      </c>
      <c r="N280" t="s">
        <v>30</v>
      </c>
      <c r="O280" t="s">
        <v>31</v>
      </c>
      <c r="P280" t="s">
        <v>146</v>
      </c>
      <c r="Q280" t="s">
        <v>113</v>
      </c>
      <c r="R280" t="s">
        <v>1077</v>
      </c>
      <c r="S280" t="s">
        <v>1078</v>
      </c>
    </row>
    <row r="281" ht="55" customHeight="1" spans="1:19">
      <c r="A281" s="1" t="str">
        <f>_xlfn.DISPIMG("ID_27E8FBCC0C10481C82935BE6FDB67C54",1)</f>
        <v>=DISPIMG("ID_27E8FBCC0C10481C82935BE6FDB67C54",1)</v>
      </c>
      <c r="B281" t="s">
        <v>158</v>
      </c>
      <c r="C281" t="s">
        <v>1079</v>
      </c>
      <c r="D281" t="s">
        <v>60</v>
      </c>
      <c r="E281" t="s">
        <v>61</v>
      </c>
      <c r="F281" t="s">
        <v>162</v>
      </c>
      <c r="G281" t="s">
        <v>254</v>
      </c>
      <c r="H281" t="s">
        <v>63</v>
      </c>
      <c r="I281" t="s">
        <v>165</v>
      </c>
      <c r="J281" t="s">
        <v>26</v>
      </c>
      <c r="K281" t="s">
        <v>27</v>
      </c>
      <c r="L281" t="s">
        <v>28</v>
      </c>
      <c r="M281" t="s">
        <v>166</v>
      </c>
      <c r="N281" t="s">
        <v>30</v>
      </c>
      <c r="O281" t="s">
        <v>31</v>
      </c>
      <c r="P281" t="s">
        <v>301</v>
      </c>
      <c r="Q281" t="s">
        <v>183</v>
      </c>
      <c r="R281" t="s">
        <v>168</v>
      </c>
      <c r="S281" t="s">
        <v>1080</v>
      </c>
    </row>
    <row r="282" ht="55" customHeight="1" spans="1:19">
      <c r="A282" s="1" t="str">
        <f>_xlfn.DISPIMG("ID_2E8B78623EDC4EA0B15EF75BD013A3B5",1)</f>
        <v>=DISPIMG("ID_2E8B78623EDC4EA0B15EF75BD013A3B5",1)</v>
      </c>
      <c r="B282" t="s">
        <v>236</v>
      </c>
      <c r="C282" t="s">
        <v>1081</v>
      </c>
      <c r="D282" t="s">
        <v>511</v>
      </c>
      <c r="E282" t="s">
        <v>204</v>
      </c>
      <c r="F282" t="s">
        <v>51</v>
      </c>
      <c r="G282" t="s">
        <v>431</v>
      </c>
      <c r="H282" t="s">
        <v>72</v>
      </c>
      <c r="I282" t="s">
        <v>42</v>
      </c>
      <c r="J282" t="s">
        <v>26</v>
      </c>
      <c r="K282" t="s">
        <v>27</v>
      </c>
      <c r="L282" t="s">
        <v>74</v>
      </c>
      <c r="M282" t="s">
        <v>29</v>
      </c>
      <c r="N282" t="s">
        <v>64</v>
      </c>
      <c r="O282" t="s">
        <v>31</v>
      </c>
      <c r="P282" t="s">
        <v>138</v>
      </c>
      <c r="Q282" t="s">
        <v>352</v>
      </c>
      <c r="R282" t="s">
        <v>104</v>
      </c>
      <c r="S282" t="s">
        <v>1082</v>
      </c>
    </row>
    <row r="283" ht="55" customHeight="1" spans="1:19">
      <c r="A283" s="1" t="str">
        <f>_xlfn.DISPIMG("ID_BA195CCA303D4999AA084178A7E664BE",1)</f>
        <v>=DISPIMG("ID_BA195CCA303D4999AA084178A7E664BE",1)</v>
      </c>
      <c r="B283" t="s">
        <v>1083</v>
      </c>
      <c r="C283" t="s">
        <v>362</v>
      </c>
      <c r="D283" t="s">
        <v>506</v>
      </c>
      <c r="E283" t="s">
        <v>507</v>
      </c>
      <c r="F283" t="s">
        <v>173</v>
      </c>
      <c r="G283" t="s">
        <v>312</v>
      </c>
      <c r="H283" t="s">
        <v>135</v>
      </c>
      <c r="I283" t="s">
        <v>175</v>
      </c>
      <c r="J283" t="s">
        <v>26</v>
      </c>
      <c r="K283" t="s">
        <v>27</v>
      </c>
      <c r="L283" t="s">
        <v>323</v>
      </c>
      <c r="M283" t="s">
        <v>93</v>
      </c>
      <c r="N283" t="s">
        <v>30</v>
      </c>
      <c r="O283" t="s">
        <v>31</v>
      </c>
      <c r="P283" t="s">
        <v>75</v>
      </c>
      <c r="Q283" t="s">
        <v>656</v>
      </c>
      <c r="R283" t="s">
        <v>1084</v>
      </c>
      <c r="S283" t="s">
        <v>1085</v>
      </c>
    </row>
    <row r="284" ht="55" customHeight="1" spans="1:19">
      <c r="A284" s="1" t="str">
        <f>_xlfn.DISPIMG("ID_E72E11082CAF4F4AA0238A9068365444",1)</f>
        <v>=DISPIMG("ID_E72E11082CAF4F4AA0238A9068365444",1)</v>
      </c>
      <c r="B284" t="s">
        <v>1086</v>
      </c>
      <c r="C284" t="s">
        <v>1087</v>
      </c>
      <c r="D284" t="s">
        <v>448</v>
      </c>
      <c r="E284" t="s">
        <v>72</v>
      </c>
      <c r="F284" t="s">
        <v>162</v>
      </c>
      <c r="G284" t="s">
        <v>152</v>
      </c>
      <c r="H284" t="s">
        <v>72</v>
      </c>
      <c r="I284" t="s">
        <v>165</v>
      </c>
      <c r="J284" t="s">
        <v>230</v>
      </c>
      <c r="K284" t="s">
        <v>27</v>
      </c>
      <c r="L284" t="s">
        <v>28</v>
      </c>
      <c r="M284" t="s">
        <v>166</v>
      </c>
      <c r="N284" t="s">
        <v>64</v>
      </c>
      <c r="O284" t="s">
        <v>31</v>
      </c>
      <c r="P284" t="s">
        <v>221</v>
      </c>
      <c r="Q284" t="s">
        <v>76</v>
      </c>
      <c r="R284" t="s">
        <v>234</v>
      </c>
      <c r="S284" t="s">
        <v>1088</v>
      </c>
    </row>
    <row r="285" ht="55" customHeight="1" spans="1:19">
      <c r="A285" s="1" t="str">
        <f>_xlfn.DISPIMG("ID_E859CA31160B431CBC7F95F42EF44B91",1)</f>
        <v>=DISPIMG("ID_E859CA31160B431CBC7F95F42EF44B91",1)</v>
      </c>
      <c r="B285" t="s">
        <v>242</v>
      </c>
      <c r="C285" t="s">
        <v>333</v>
      </c>
      <c r="D285" t="s">
        <v>143</v>
      </c>
      <c r="E285" t="s">
        <v>144</v>
      </c>
      <c r="F285" t="s">
        <v>245</v>
      </c>
      <c r="G285" t="s">
        <v>246</v>
      </c>
      <c r="H285" t="s">
        <v>144</v>
      </c>
      <c r="I285" t="s">
        <v>165</v>
      </c>
      <c r="J285" t="s">
        <v>26</v>
      </c>
      <c r="K285" t="s">
        <v>27</v>
      </c>
      <c r="L285" t="s">
        <v>28</v>
      </c>
      <c r="M285" t="s">
        <v>93</v>
      </c>
      <c r="N285" t="s">
        <v>30</v>
      </c>
      <c r="O285" t="s">
        <v>31</v>
      </c>
      <c r="P285" t="s">
        <v>146</v>
      </c>
      <c r="Q285" t="s">
        <v>76</v>
      </c>
      <c r="R285" t="s">
        <v>249</v>
      </c>
      <c r="S285" t="s">
        <v>1089</v>
      </c>
    </row>
    <row r="286" ht="55" customHeight="1" spans="1:19">
      <c r="A286" s="1" t="str">
        <f>_xlfn.DISPIMG("ID_3C83FAD7D2304F06AE0B1944C2A63A17",1)</f>
        <v>=DISPIMG("ID_3C83FAD7D2304F06AE0B1944C2A63A17",1)</v>
      </c>
      <c r="B286" t="s">
        <v>1090</v>
      </c>
      <c r="C286" t="s">
        <v>1091</v>
      </c>
      <c r="D286" t="s">
        <v>151</v>
      </c>
      <c r="E286" t="s">
        <v>63</v>
      </c>
      <c r="F286" t="s">
        <v>162</v>
      </c>
      <c r="G286" t="s">
        <v>101</v>
      </c>
      <c r="H286" t="s">
        <v>63</v>
      </c>
      <c r="I286" t="s">
        <v>189</v>
      </c>
      <c r="J286" t="s">
        <v>26</v>
      </c>
      <c r="K286" t="s">
        <v>27</v>
      </c>
      <c r="L286" t="s">
        <v>28</v>
      </c>
      <c r="M286" t="s">
        <v>166</v>
      </c>
      <c r="N286" t="s">
        <v>30</v>
      </c>
      <c r="O286" t="s">
        <v>31</v>
      </c>
      <c r="P286" t="s">
        <v>268</v>
      </c>
      <c r="Q286" t="s">
        <v>76</v>
      </c>
      <c r="R286" t="s">
        <v>191</v>
      </c>
      <c r="S286" t="s">
        <v>1092</v>
      </c>
    </row>
    <row r="287" ht="55" customHeight="1" spans="1:19">
      <c r="A287" s="1" t="str">
        <f>_xlfn.DISPIMG("ID_9E1544AA7130442F9B463EFF5FAF95F0",1)</f>
        <v>=DISPIMG("ID_9E1544AA7130442F9B463EFF5FAF95F0",1)</v>
      </c>
      <c r="B287" t="s">
        <v>610</v>
      </c>
      <c r="C287" t="s">
        <v>1093</v>
      </c>
      <c r="D287" t="s">
        <v>556</v>
      </c>
      <c r="E287" t="s">
        <v>72</v>
      </c>
      <c r="F287" t="s">
        <v>40</v>
      </c>
      <c r="G287" t="s">
        <v>561</v>
      </c>
      <c r="H287" t="s">
        <v>72</v>
      </c>
      <c r="I287" t="s">
        <v>25</v>
      </c>
      <c r="J287" t="s">
        <v>26</v>
      </c>
      <c r="K287" t="s">
        <v>27</v>
      </c>
      <c r="L287" t="s">
        <v>557</v>
      </c>
      <c r="M287" t="s">
        <v>29</v>
      </c>
      <c r="N287" t="s">
        <v>30</v>
      </c>
      <c r="O287" t="s">
        <v>31</v>
      </c>
      <c r="P287" t="s">
        <v>65</v>
      </c>
      <c r="Q287" t="s">
        <v>297</v>
      </c>
      <c r="R287" t="s">
        <v>389</v>
      </c>
      <c r="S287" t="s">
        <v>1094</v>
      </c>
    </row>
    <row r="288" ht="55" customHeight="1" spans="1:19">
      <c r="A288" s="1" t="str">
        <f>_xlfn.DISPIMG("ID_4142CA2BA9EB4E16BA975642150C67AF",1)</f>
        <v>=DISPIMG("ID_4142CA2BA9EB4E16BA975642150C67AF",1)</v>
      </c>
      <c r="B288" t="s">
        <v>236</v>
      </c>
      <c r="C288" t="s">
        <v>826</v>
      </c>
      <c r="D288" t="s">
        <v>400</v>
      </c>
      <c r="E288" t="s">
        <v>1095</v>
      </c>
      <c r="F288" t="s">
        <v>51</v>
      </c>
      <c r="G288" t="s">
        <v>312</v>
      </c>
      <c r="H288" t="s">
        <v>1095</v>
      </c>
      <c r="I288" t="s">
        <v>42</v>
      </c>
      <c r="J288" t="s">
        <v>26</v>
      </c>
      <c r="K288" t="s">
        <v>27</v>
      </c>
      <c r="L288" t="s">
        <v>323</v>
      </c>
      <c r="M288" t="s">
        <v>29</v>
      </c>
      <c r="N288" t="s">
        <v>30</v>
      </c>
      <c r="O288" t="s">
        <v>31</v>
      </c>
      <c r="P288" t="s">
        <v>138</v>
      </c>
      <c r="Q288" t="s">
        <v>183</v>
      </c>
      <c r="R288" t="s">
        <v>104</v>
      </c>
      <c r="S288" t="s">
        <v>1096</v>
      </c>
    </row>
    <row r="289" ht="55" customHeight="1" spans="1:19">
      <c r="A289" s="1" t="str">
        <f>_xlfn.DISPIMG("ID_501F25F8765143AB94C68434CEDC26FA",1)</f>
        <v>=DISPIMG("ID_501F25F8765143AB94C68434CEDC26FA",1)</v>
      </c>
      <c r="B289" t="s">
        <v>465</v>
      </c>
      <c r="C289" t="s">
        <v>1097</v>
      </c>
      <c r="D289" t="s">
        <v>466</v>
      </c>
      <c r="E289" t="s">
        <v>50</v>
      </c>
      <c r="F289" t="s">
        <v>40</v>
      </c>
      <c r="G289" t="s">
        <v>444</v>
      </c>
      <c r="H289" t="s">
        <v>50</v>
      </c>
      <c r="I289" t="s">
        <v>42</v>
      </c>
      <c r="J289" t="s">
        <v>26</v>
      </c>
      <c r="K289" t="s">
        <v>27</v>
      </c>
      <c r="L289" t="s">
        <v>28</v>
      </c>
      <c r="M289" t="s">
        <v>29</v>
      </c>
      <c r="N289" t="s">
        <v>30</v>
      </c>
      <c r="O289" t="s">
        <v>31</v>
      </c>
      <c r="P289" t="s">
        <v>602</v>
      </c>
      <c r="Q289" t="s">
        <v>297</v>
      </c>
      <c r="R289" t="s">
        <v>45</v>
      </c>
      <c r="S289" t="s">
        <v>1098</v>
      </c>
    </row>
    <row r="290" ht="55" customHeight="1" spans="1:19">
      <c r="A290" s="1" t="str">
        <f>_xlfn.DISPIMG("ID_41E6F35FAD5C456E8C00E6BCA0B76901",1)</f>
        <v>=DISPIMG("ID_41E6F35FAD5C456E8C00E6BCA0B76901",1)</v>
      </c>
      <c r="B290" t="s">
        <v>366</v>
      </c>
      <c r="C290" t="s">
        <v>1099</v>
      </c>
      <c r="D290" t="s">
        <v>368</v>
      </c>
      <c r="E290" t="s">
        <v>135</v>
      </c>
      <c r="F290" t="s">
        <v>245</v>
      </c>
      <c r="G290" t="s">
        <v>561</v>
      </c>
      <c r="H290" t="s">
        <v>135</v>
      </c>
      <c r="I290" t="s">
        <v>165</v>
      </c>
      <c r="J290" t="s">
        <v>26</v>
      </c>
      <c r="K290" t="s">
        <v>27</v>
      </c>
      <c r="L290" t="s">
        <v>28</v>
      </c>
      <c r="M290" t="s">
        <v>93</v>
      </c>
      <c r="N290" t="s">
        <v>30</v>
      </c>
      <c r="O290" t="s">
        <v>31</v>
      </c>
      <c r="P290" t="s">
        <v>128</v>
      </c>
      <c r="Q290" t="s">
        <v>297</v>
      </c>
      <c r="R290" t="s">
        <v>370</v>
      </c>
      <c r="S290" t="s">
        <v>1100</v>
      </c>
    </row>
    <row r="291" ht="55" customHeight="1" spans="1:19">
      <c r="A291" s="1" t="str">
        <f>_xlfn.DISPIMG("ID_3CBC79E0C7034CE8950F8E404E6C08C6",1)</f>
        <v>=DISPIMG("ID_3CBC79E0C7034CE8950F8E404E6C08C6",1)</v>
      </c>
      <c r="B291" t="s">
        <v>1101</v>
      </c>
      <c r="C291" t="s">
        <v>1102</v>
      </c>
      <c r="D291" t="s">
        <v>581</v>
      </c>
      <c r="E291" t="s">
        <v>109</v>
      </c>
      <c r="F291" t="s">
        <v>40</v>
      </c>
      <c r="G291" t="s">
        <v>606</v>
      </c>
      <c r="H291" t="s">
        <v>111</v>
      </c>
      <c r="I291" t="s">
        <v>42</v>
      </c>
      <c r="J291" t="s">
        <v>26</v>
      </c>
      <c r="K291" t="s">
        <v>27</v>
      </c>
      <c r="L291" t="s">
        <v>74</v>
      </c>
      <c r="M291" t="s">
        <v>29</v>
      </c>
      <c r="N291" t="s">
        <v>661</v>
      </c>
      <c r="O291" t="s">
        <v>31</v>
      </c>
      <c r="P291" t="s">
        <v>75</v>
      </c>
      <c r="Q291" t="s">
        <v>269</v>
      </c>
      <c r="R291" t="s">
        <v>45</v>
      </c>
      <c r="S291" t="s">
        <v>1103</v>
      </c>
    </row>
    <row r="292" ht="55" customHeight="1" spans="1:19">
      <c r="A292" s="1" t="str">
        <f>_xlfn.DISPIMG("ID_7A811D9EDE9342BE81898C90C3FA573F",1)</f>
        <v>=DISPIMG("ID_7A811D9EDE9342BE81898C90C3FA573F",1)</v>
      </c>
      <c r="B292" t="s">
        <v>320</v>
      </c>
      <c r="C292" t="s">
        <v>654</v>
      </c>
      <c r="D292" t="s">
        <v>315</v>
      </c>
      <c r="E292" t="s">
        <v>316</v>
      </c>
      <c r="F292" t="s">
        <v>173</v>
      </c>
      <c r="G292" t="s">
        <v>41</v>
      </c>
      <c r="H292" t="s">
        <v>144</v>
      </c>
      <c r="I292" t="s">
        <v>175</v>
      </c>
      <c r="J292" t="s">
        <v>26</v>
      </c>
      <c r="K292" t="s">
        <v>27</v>
      </c>
      <c r="L292" t="s">
        <v>323</v>
      </c>
      <c r="M292" t="s">
        <v>93</v>
      </c>
      <c r="N292" t="s">
        <v>30</v>
      </c>
      <c r="O292" t="s">
        <v>31</v>
      </c>
      <c r="P292" t="s">
        <v>221</v>
      </c>
      <c r="Q292" t="s">
        <v>1104</v>
      </c>
      <c r="R292" t="s">
        <v>324</v>
      </c>
      <c r="S292" t="s">
        <v>1105</v>
      </c>
    </row>
    <row r="293" ht="55" customHeight="1" spans="1:19">
      <c r="A293" s="1" t="str">
        <f>_xlfn.DISPIMG("ID_31AD2B5BA87B4699823A5D470FCE37AE",1)</f>
        <v>=DISPIMG("ID_31AD2B5BA87B4699823A5D470FCE37AE",1)</v>
      </c>
      <c r="B293" t="s">
        <v>236</v>
      </c>
      <c r="C293" t="s">
        <v>1106</v>
      </c>
      <c r="D293" t="s">
        <v>90</v>
      </c>
      <c r="E293" t="s">
        <v>39</v>
      </c>
      <c r="F293" t="s">
        <v>51</v>
      </c>
      <c r="G293" t="s">
        <v>1107</v>
      </c>
      <c r="H293" t="s">
        <v>39</v>
      </c>
      <c r="I293" t="s">
        <v>42</v>
      </c>
      <c r="J293" t="s">
        <v>26</v>
      </c>
      <c r="K293" t="s">
        <v>27</v>
      </c>
      <c r="L293" t="s">
        <v>28</v>
      </c>
      <c r="M293" t="s">
        <v>29</v>
      </c>
      <c r="N293" t="s">
        <v>30</v>
      </c>
      <c r="O293" t="s">
        <v>31</v>
      </c>
      <c r="P293" t="s">
        <v>138</v>
      </c>
      <c r="Q293" t="s">
        <v>66</v>
      </c>
      <c r="R293" t="s">
        <v>104</v>
      </c>
      <c r="S293" t="s">
        <v>1108</v>
      </c>
    </row>
    <row r="294" ht="55" customHeight="1" spans="1:19">
      <c r="A294" s="1" t="str">
        <f>_xlfn.DISPIMG("ID_3685CD5597CE4BFDA5BBC8A52389E32B",1)</f>
        <v>=DISPIMG("ID_3685CD5597CE4BFDA5BBC8A52389E32B",1)</v>
      </c>
      <c r="B294" t="s">
        <v>251</v>
      </c>
      <c r="C294" t="s">
        <v>864</v>
      </c>
      <c r="D294" t="s">
        <v>310</v>
      </c>
      <c r="E294" t="s">
        <v>311</v>
      </c>
      <c r="F294" t="s">
        <v>40</v>
      </c>
      <c r="G294" t="s">
        <v>1109</v>
      </c>
      <c r="H294" t="s">
        <v>39</v>
      </c>
      <c r="I294" t="s">
        <v>42</v>
      </c>
      <c r="J294" t="s">
        <v>26</v>
      </c>
      <c r="K294" t="s">
        <v>27</v>
      </c>
      <c r="L294" t="s">
        <v>53</v>
      </c>
      <c r="M294" t="s">
        <v>29</v>
      </c>
      <c r="N294" t="s">
        <v>30</v>
      </c>
      <c r="O294" t="s">
        <v>31</v>
      </c>
      <c r="P294" t="s">
        <v>112</v>
      </c>
      <c r="Q294" t="s">
        <v>795</v>
      </c>
      <c r="R294" t="s">
        <v>114</v>
      </c>
      <c r="S294" t="s">
        <v>1110</v>
      </c>
    </row>
    <row r="295" ht="55" customHeight="1" spans="1:19">
      <c r="A295" s="1" t="str">
        <f>_xlfn.DISPIMG("ID_EDADBB4FF2A84B84AC468F83E5E6BE43",1)</f>
        <v>=DISPIMG("ID_EDADBB4FF2A84B84AC468F83E5E6BE43",1)</v>
      </c>
      <c r="B295" t="s">
        <v>265</v>
      </c>
      <c r="C295" t="s">
        <v>891</v>
      </c>
      <c r="D295" t="s">
        <v>60</v>
      </c>
      <c r="E295" t="s">
        <v>238</v>
      </c>
      <c r="F295" t="s">
        <v>51</v>
      </c>
      <c r="G295" t="s">
        <v>1111</v>
      </c>
      <c r="H295" t="s">
        <v>238</v>
      </c>
      <c r="I295" t="s">
        <v>25</v>
      </c>
      <c r="J295" t="s">
        <v>26</v>
      </c>
      <c r="K295" t="s">
        <v>27</v>
      </c>
      <c r="L295" t="s">
        <v>74</v>
      </c>
      <c r="M295" t="s">
        <v>29</v>
      </c>
      <c r="N295" t="s">
        <v>30</v>
      </c>
      <c r="O295" t="s">
        <v>31</v>
      </c>
      <c r="P295" t="s">
        <v>128</v>
      </c>
      <c r="Q295" t="s">
        <v>369</v>
      </c>
      <c r="R295" t="s">
        <v>270</v>
      </c>
      <c r="S295" t="s">
        <v>1112</v>
      </c>
    </row>
    <row r="296" ht="55" customHeight="1" spans="1:19">
      <c r="A296" s="1" t="str">
        <f>_xlfn.DISPIMG("ID_1D548C4EB9924038A820A37557FC386E",1)</f>
        <v>=DISPIMG("ID_1D548C4EB9924038A820A37557FC386E",1)</v>
      </c>
      <c r="B296" t="s">
        <v>106</v>
      </c>
      <c r="C296" t="s">
        <v>1113</v>
      </c>
      <c r="D296" t="s">
        <v>524</v>
      </c>
      <c r="E296" t="s">
        <v>63</v>
      </c>
      <c r="F296" t="s">
        <v>40</v>
      </c>
      <c r="G296" t="s">
        <v>334</v>
      </c>
      <c r="H296" t="s">
        <v>63</v>
      </c>
      <c r="I296" t="s">
        <v>42</v>
      </c>
      <c r="J296" t="s">
        <v>26</v>
      </c>
      <c r="K296" t="s">
        <v>27</v>
      </c>
      <c r="L296" t="s">
        <v>74</v>
      </c>
      <c r="M296" t="s">
        <v>29</v>
      </c>
      <c r="N296" t="s">
        <v>64</v>
      </c>
      <c r="O296" t="s">
        <v>31</v>
      </c>
      <c r="P296" t="s">
        <v>128</v>
      </c>
      <c r="Q296" t="s">
        <v>843</v>
      </c>
      <c r="R296" t="s">
        <v>114</v>
      </c>
      <c r="S296" t="s">
        <v>1114</v>
      </c>
    </row>
    <row r="297" ht="55" customHeight="1" spans="1:19">
      <c r="A297" s="1" t="str">
        <f>_xlfn.DISPIMG("ID_76B034D247F54D05B6BD73F61DEDA686",1)</f>
        <v>=DISPIMG("ID_76B034D247F54D05B6BD73F61DEDA686",1)</v>
      </c>
      <c r="B297" t="s">
        <v>116</v>
      </c>
      <c r="C297" t="s">
        <v>391</v>
      </c>
      <c r="D297" t="s">
        <v>368</v>
      </c>
      <c r="E297" t="s">
        <v>135</v>
      </c>
      <c r="F297" t="s">
        <v>40</v>
      </c>
      <c r="G297" t="s">
        <v>1115</v>
      </c>
      <c r="H297" t="s">
        <v>135</v>
      </c>
      <c r="I297" t="s">
        <v>42</v>
      </c>
      <c r="J297" t="s">
        <v>26</v>
      </c>
      <c r="K297" t="s">
        <v>27</v>
      </c>
      <c r="L297" t="s">
        <v>28</v>
      </c>
      <c r="M297" t="s">
        <v>29</v>
      </c>
      <c r="N297" t="s">
        <v>64</v>
      </c>
      <c r="O297" t="s">
        <v>31</v>
      </c>
      <c r="P297" t="s">
        <v>414</v>
      </c>
      <c r="Q297" t="s">
        <v>255</v>
      </c>
      <c r="R297" t="s">
        <v>45</v>
      </c>
      <c r="S297" t="s">
        <v>1116</v>
      </c>
    </row>
    <row r="298" ht="55" customHeight="1" spans="1:19">
      <c r="A298" s="1" t="str">
        <f>_xlfn.DISPIMG("ID_4BDB07D9E84D48FAAB24AF6B98338FFB",1)</f>
        <v>=DISPIMG("ID_4BDB07D9E84D48FAAB24AF6B98338FFB",1)</v>
      </c>
      <c r="B298" t="s">
        <v>439</v>
      </c>
      <c r="C298" t="s">
        <v>715</v>
      </c>
      <c r="D298" t="s">
        <v>188</v>
      </c>
      <c r="E298" t="s">
        <v>144</v>
      </c>
      <c r="F298" t="s">
        <v>91</v>
      </c>
      <c r="G298" t="s">
        <v>101</v>
      </c>
      <c r="H298" t="s">
        <v>144</v>
      </c>
      <c r="I298" t="s">
        <v>137</v>
      </c>
      <c r="J298" t="s">
        <v>26</v>
      </c>
      <c r="K298" t="s">
        <v>27</v>
      </c>
      <c r="L298" t="s">
        <v>28</v>
      </c>
      <c r="M298" t="s">
        <v>93</v>
      </c>
      <c r="N298" t="s">
        <v>30</v>
      </c>
      <c r="O298" t="s">
        <v>31</v>
      </c>
      <c r="P298" t="s">
        <v>138</v>
      </c>
      <c r="Q298" t="s">
        <v>167</v>
      </c>
      <c r="R298" t="s">
        <v>191</v>
      </c>
      <c r="S298" t="s">
        <v>1117</v>
      </c>
    </row>
    <row r="299" ht="55" customHeight="1" spans="1:19">
      <c r="A299" s="1" t="str">
        <f>_xlfn.DISPIMG("ID_A8AB3B7C8E9342CEBECFA5887733EB2A",1)</f>
        <v>=DISPIMG("ID_A8AB3B7C8E9342CEBECFA5887733EB2A",1)</v>
      </c>
      <c r="B299" t="s">
        <v>158</v>
      </c>
      <c r="C299" t="s">
        <v>1118</v>
      </c>
      <c r="D299" t="s">
        <v>400</v>
      </c>
      <c r="E299" t="s">
        <v>211</v>
      </c>
      <c r="F299" t="s">
        <v>162</v>
      </c>
      <c r="G299" t="s">
        <v>690</v>
      </c>
      <c r="H299" t="s">
        <v>211</v>
      </c>
      <c r="I299" t="s">
        <v>165</v>
      </c>
      <c r="J299" t="s">
        <v>26</v>
      </c>
      <c r="K299" t="s">
        <v>27</v>
      </c>
      <c r="L299" t="s">
        <v>28</v>
      </c>
      <c r="M299" t="s">
        <v>166</v>
      </c>
      <c r="N299" t="s">
        <v>30</v>
      </c>
      <c r="O299" t="s">
        <v>31</v>
      </c>
      <c r="P299" t="s">
        <v>1119</v>
      </c>
      <c r="Q299" t="s">
        <v>76</v>
      </c>
      <c r="R299" t="s">
        <v>168</v>
      </c>
      <c r="S299" t="s">
        <v>1120</v>
      </c>
    </row>
    <row r="300" ht="55" customHeight="1" spans="1:19">
      <c r="A300" s="1" t="str">
        <f>_xlfn.DISPIMG("ID_295D00F61F8F4B53BBB517346B4EB146",1)</f>
        <v>=DISPIMG("ID_295D00F61F8F4B53BBB517346B4EB146",1)</v>
      </c>
      <c r="B300" t="s">
        <v>257</v>
      </c>
      <c r="C300" t="s">
        <v>1121</v>
      </c>
      <c r="D300" t="s">
        <v>460</v>
      </c>
      <c r="E300" t="s">
        <v>461</v>
      </c>
      <c r="F300" t="s">
        <v>51</v>
      </c>
      <c r="G300" t="s">
        <v>1122</v>
      </c>
      <c r="H300" t="s">
        <v>461</v>
      </c>
      <c r="I300" t="s">
        <v>25</v>
      </c>
      <c r="J300" t="s">
        <v>26</v>
      </c>
      <c r="K300" t="s">
        <v>27</v>
      </c>
      <c r="L300" t="s">
        <v>74</v>
      </c>
      <c r="M300" t="s">
        <v>29</v>
      </c>
      <c r="N300" t="s">
        <v>64</v>
      </c>
      <c r="O300" t="s">
        <v>31</v>
      </c>
      <c r="P300" t="s">
        <v>301</v>
      </c>
      <c r="Q300" t="s">
        <v>155</v>
      </c>
      <c r="R300" t="s">
        <v>147</v>
      </c>
      <c r="S300" t="s">
        <v>1123</v>
      </c>
    </row>
    <row r="301" ht="55" customHeight="1" spans="1:19">
      <c r="A301" s="1" t="str">
        <f>_xlfn.DISPIMG("ID_B6F05AE8C47C4B2CAA5EF06E28CC9B90",1)</f>
        <v>=DISPIMG("ID_B6F05AE8C47C4B2CAA5EF06E28CC9B90",1)</v>
      </c>
      <c r="B301" t="s">
        <v>116</v>
      </c>
      <c r="C301" t="s">
        <v>391</v>
      </c>
      <c r="D301" t="s">
        <v>375</v>
      </c>
      <c r="E301" t="s">
        <v>486</v>
      </c>
      <c r="F301" t="s">
        <v>40</v>
      </c>
      <c r="G301" t="s">
        <v>246</v>
      </c>
      <c r="H301" t="s">
        <v>486</v>
      </c>
      <c r="I301" t="s">
        <v>42</v>
      </c>
      <c r="J301" t="s">
        <v>26</v>
      </c>
      <c r="K301" t="s">
        <v>27</v>
      </c>
      <c r="L301" t="s">
        <v>74</v>
      </c>
      <c r="M301" t="s">
        <v>29</v>
      </c>
      <c r="N301" t="s">
        <v>30</v>
      </c>
      <c r="O301" t="s">
        <v>31</v>
      </c>
      <c r="P301" t="s">
        <v>857</v>
      </c>
      <c r="Q301" t="s">
        <v>286</v>
      </c>
      <c r="R301" t="s">
        <v>45</v>
      </c>
      <c r="S301" t="s">
        <v>1124</v>
      </c>
    </row>
    <row r="302" ht="55" customHeight="1" spans="1:19">
      <c r="A302" s="1" t="str">
        <f>_xlfn.DISPIMG("ID_571F2462FAC24C9183F84CC59702547E",1)</f>
        <v>=DISPIMG("ID_571F2462FAC24C9183F84CC59702547E",1)</v>
      </c>
      <c r="B302" t="s">
        <v>366</v>
      </c>
      <c r="C302" t="s">
        <v>1125</v>
      </c>
      <c r="D302" t="s">
        <v>143</v>
      </c>
      <c r="E302" t="s">
        <v>144</v>
      </c>
      <c r="F302" t="s">
        <v>245</v>
      </c>
      <c r="G302" t="s">
        <v>582</v>
      </c>
      <c r="H302" t="s">
        <v>144</v>
      </c>
      <c r="I302" t="s">
        <v>165</v>
      </c>
      <c r="J302" t="s">
        <v>26</v>
      </c>
      <c r="K302" t="s">
        <v>27</v>
      </c>
      <c r="L302" t="s">
        <v>28</v>
      </c>
      <c r="M302" t="s">
        <v>93</v>
      </c>
      <c r="N302" t="s">
        <v>30</v>
      </c>
      <c r="O302" t="s">
        <v>31</v>
      </c>
      <c r="P302" t="s">
        <v>128</v>
      </c>
      <c r="Q302" t="s">
        <v>297</v>
      </c>
      <c r="R302" t="s">
        <v>370</v>
      </c>
      <c r="S302" t="s">
        <v>1126</v>
      </c>
    </row>
    <row r="303" ht="55" customHeight="1" spans="1:19">
      <c r="A303" s="1" t="str">
        <f>_xlfn.DISPIMG("ID_E2EB121A890F4BC3B0BEA04EF36912C1",1)</f>
        <v>=DISPIMG("ID_E2EB121A890F4BC3B0BEA04EF36912C1",1)</v>
      </c>
      <c r="B303" t="s">
        <v>236</v>
      </c>
      <c r="C303" t="s">
        <v>1127</v>
      </c>
      <c r="D303" t="s">
        <v>506</v>
      </c>
      <c r="E303" t="s">
        <v>507</v>
      </c>
      <c r="F303" t="s">
        <v>51</v>
      </c>
      <c r="G303" t="s">
        <v>41</v>
      </c>
      <c r="H303" t="s">
        <v>135</v>
      </c>
      <c r="I303" t="s">
        <v>42</v>
      </c>
      <c r="J303" t="s">
        <v>26</v>
      </c>
      <c r="K303" t="s">
        <v>27</v>
      </c>
      <c r="L303" t="s">
        <v>28</v>
      </c>
      <c r="M303" t="s">
        <v>29</v>
      </c>
      <c r="N303" t="s">
        <v>64</v>
      </c>
      <c r="O303" t="s">
        <v>31</v>
      </c>
      <c r="P303" t="s">
        <v>154</v>
      </c>
      <c r="Q303" t="s">
        <v>415</v>
      </c>
      <c r="R303" t="s">
        <v>104</v>
      </c>
      <c r="S303" t="s">
        <v>1128</v>
      </c>
    </row>
    <row r="304" ht="55" customHeight="1" spans="1:19">
      <c r="A304" s="1" t="str">
        <f>_xlfn.DISPIMG("ID_181A7D7BC2A14487BCD9D0A51632D159",1)</f>
        <v>=DISPIMG("ID_181A7D7BC2A14487BCD9D0A51632D159",1)</v>
      </c>
      <c r="B304" t="s">
        <v>178</v>
      </c>
      <c r="C304" t="s">
        <v>237</v>
      </c>
      <c r="D304" t="s">
        <v>60</v>
      </c>
      <c r="E304" t="s">
        <v>61</v>
      </c>
      <c r="F304" t="s">
        <v>51</v>
      </c>
      <c r="G304" t="s">
        <v>101</v>
      </c>
      <c r="H304" t="s">
        <v>63</v>
      </c>
      <c r="I304" t="s">
        <v>42</v>
      </c>
      <c r="J304" t="s">
        <v>26</v>
      </c>
      <c r="K304" t="s">
        <v>27</v>
      </c>
      <c r="L304" t="s">
        <v>74</v>
      </c>
      <c r="M304" t="s">
        <v>29</v>
      </c>
      <c r="N304" t="s">
        <v>30</v>
      </c>
      <c r="O304" t="s">
        <v>31</v>
      </c>
      <c r="P304" t="s">
        <v>247</v>
      </c>
      <c r="Q304" t="s">
        <v>113</v>
      </c>
      <c r="R304" t="s">
        <v>184</v>
      </c>
      <c r="S304" t="s">
        <v>1129</v>
      </c>
    </row>
    <row r="305" ht="55" customHeight="1" spans="1:19">
      <c r="A305" s="1" t="str">
        <f>_xlfn.DISPIMG("ID_073403EB355D41E6852F81BF045A5AE9",1)</f>
        <v>=DISPIMG("ID_073403EB355D41E6852F81BF045A5AE9",1)</v>
      </c>
      <c r="B305" t="s">
        <v>1130</v>
      </c>
      <c r="C305" t="s">
        <v>718</v>
      </c>
      <c r="D305" t="s">
        <v>327</v>
      </c>
      <c r="E305" t="s">
        <v>328</v>
      </c>
      <c r="F305" t="s">
        <v>40</v>
      </c>
      <c r="G305" t="s">
        <v>312</v>
      </c>
      <c r="H305" t="s">
        <v>119</v>
      </c>
      <c r="I305" t="s">
        <v>42</v>
      </c>
      <c r="J305" t="s">
        <v>26</v>
      </c>
      <c r="K305" t="s">
        <v>27</v>
      </c>
      <c r="L305" t="s">
        <v>74</v>
      </c>
      <c r="M305" t="s">
        <v>29</v>
      </c>
      <c r="N305" t="s">
        <v>30</v>
      </c>
      <c r="O305" t="s">
        <v>31</v>
      </c>
      <c r="P305" t="s">
        <v>351</v>
      </c>
      <c r="Q305" t="s">
        <v>190</v>
      </c>
      <c r="R305" t="s">
        <v>104</v>
      </c>
      <c r="S305" t="s">
        <v>1131</v>
      </c>
    </row>
    <row r="306" ht="55" customHeight="1" spans="1:19">
      <c r="A306" s="1" t="str">
        <f>_xlfn.DISPIMG("ID_CD1B710AD73743469F1A638EB85C1F1A",1)</f>
        <v>=DISPIMG("ID_CD1B710AD73743469F1A638EB85C1F1A",1)</v>
      </c>
      <c r="B306" t="s">
        <v>902</v>
      </c>
      <c r="C306" t="s">
        <v>1132</v>
      </c>
      <c r="D306" t="s">
        <v>1133</v>
      </c>
      <c r="E306" t="s">
        <v>119</v>
      </c>
      <c r="F306" t="s">
        <v>23</v>
      </c>
      <c r="G306" t="s">
        <v>174</v>
      </c>
      <c r="H306" t="s">
        <v>119</v>
      </c>
      <c r="I306" t="s">
        <v>25</v>
      </c>
      <c r="J306" t="s">
        <v>26</v>
      </c>
      <c r="K306" t="s">
        <v>27</v>
      </c>
      <c r="L306" t="s">
        <v>28</v>
      </c>
      <c r="M306" t="s">
        <v>29</v>
      </c>
      <c r="N306" t="s">
        <v>30</v>
      </c>
      <c r="O306" t="s">
        <v>31</v>
      </c>
      <c r="P306" t="s">
        <v>112</v>
      </c>
      <c r="Q306" t="s">
        <v>802</v>
      </c>
      <c r="R306" t="s">
        <v>906</v>
      </c>
      <c r="S306" t="s">
        <v>1134</v>
      </c>
    </row>
    <row r="307" ht="55" customHeight="1" spans="1:19">
      <c r="A307" s="1" t="str">
        <f>_xlfn.DISPIMG("ID_75B15BE0D04942C1887F5BCA92E79179",1)</f>
        <v>=DISPIMG("ID_75B15BE0D04942C1887F5BCA92E79179",1)</v>
      </c>
      <c r="B307" t="s">
        <v>667</v>
      </c>
      <c r="C307" t="s">
        <v>1135</v>
      </c>
      <c r="D307" t="s">
        <v>1136</v>
      </c>
      <c r="E307" t="s">
        <v>445</v>
      </c>
      <c r="F307" t="s">
        <v>228</v>
      </c>
      <c r="G307" t="s">
        <v>905</v>
      </c>
      <c r="H307" t="s">
        <v>445</v>
      </c>
      <c r="I307" t="s">
        <v>165</v>
      </c>
      <c r="J307" t="s">
        <v>26</v>
      </c>
      <c r="K307" t="s">
        <v>27</v>
      </c>
      <c r="L307" t="s">
        <v>28</v>
      </c>
      <c r="M307" t="s">
        <v>232</v>
      </c>
      <c r="N307" t="s">
        <v>30</v>
      </c>
      <c r="O307" t="s">
        <v>31</v>
      </c>
      <c r="P307" t="s">
        <v>128</v>
      </c>
      <c r="Q307" t="s">
        <v>76</v>
      </c>
      <c r="R307" t="s">
        <v>671</v>
      </c>
      <c r="S307" t="s">
        <v>1137</v>
      </c>
    </row>
    <row r="308" ht="55" customHeight="1" spans="1:19">
      <c r="A308" s="1" t="str">
        <f>_xlfn.DISPIMG("ID_4796868A77AA46579301F155B4E0FC2A",1)</f>
        <v>=DISPIMG("ID_4796868A77AA46579301F155B4E0FC2A",1)</v>
      </c>
      <c r="B308" t="s">
        <v>829</v>
      </c>
      <c r="C308" t="s">
        <v>1138</v>
      </c>
      <c r="D308" t="s">
        <v>203</v>
      </c>
      <c r="E308" t="s">
        <v>204</v>
      </c>
      <c r="F308" t="s">
        <v>40</v>
      </c>
      <c r="G308" t="s">
        <v>1139</v>
      </c>
      <c r="H308" t="s">
        <v>72</v>
      </c>
      <c r="I308" t="s">
        <v>42</v>
      </c>
      <c r="J308" t="s">
        <v>26</v>
      </c>
      <c r="K308" t="s">
        <v>27</v>
      </c>
      <c r="L308" t="s">
        <v>74</v>
      </c>
      <c r="M308" t="s">
        <v>29</v>
      </c>
      <c r="N308" t="s">
        <v>30</v>
      </c>
      <c r="O308" t="s">
        <v>31</v>
      </c>
      <c r="P308" t="s">
        <v>138</v>
      </c>
      <c r="Q308" t="s">
        <v>255</v>
      </c>
      <c r="R308" t="s">
        <v>832</v>
      </c>
      <c r="S308" t="s">
        <v>1140</v>
      </c>
    </row>
    <row r="309" ht="55" customHeight="1" spans="1:19">
      <c r="A309" s="1" t="str">
        <f>_xlfn.DISPIMG("ID_B8D7B88928F544C5901B2E6D3C7FB13D",1)</f>
        <v>=DISPIMG("ID_B8D7B88928F544C5901B2E6D3C7FB13D",1)</v>
      </c>
      <c r="B309" t="s">
        <v>36</v>
      </c>
      <c r="C309" t="s">
        <v>391</v>
      </c>
      <c r="D309" t="s">
        <v>973</v>
      </c>
      <c r="E309" t="s">
        <v>61</v>
      </c>
      <c r="F309" t="s">
        <v>40</v>
      </c>
      <c r="G309" t="s">
        <v>436</v>
      </c>
      <c r="H309" t="s">
        <v>63</v>
      </c>
      <c r="I309" t="s">
        <v>42</v>
      </c>
      <c r="J309" t="s">
        <v>26</v>
      </c>
      <c r="K309" t="s">
        <v>27</v>
      </c>
      <c r="L309" t="s">
        <v>28</v>
      </c>
      <c r="M309" t="s">
        <v>29</v>
      </c>
      <c r="N309" t="s">
        <v>64</v>
      </c>
      <c r="O309" t="s">
        <v>31</v>
      </c>
      <c r="P309" t="s">
        <v>54</v>
      </c>
      <c r="Q309" t="s">
        <v>1141</v>
      </c>
      <c r="R309" t="s">
        <v>45</v>
      </c>
      <c r="S309" t="s">
        <v>1142</v>
      </c>
    </row>
    <row r="310" ht="55" customHeight="1" spans="1:19">
      <c r="A310" s="1" t="str">
        <f>_xlfn.DISPIMG("ID_F0464EE41A9542E3BDEC2C42924B9D0D",1)</f>
        <v>=DISPIMG("ID_F0464EE41A9542E3BDEC2C42924B9D0D",1)</v>
      </c>
      <c r="B310" t="s">
        <v>1143</v>
      </c>
      <c r="C310" t="s">
        <v>1144</v>
      </c>
      <c r="D310" t="s">
        <v>460</v>
      </c>
      <c r="E310" t="s">
        <v>84</v>
      </c>
      <c r="F310" t="s">
        <v>173</v>
      </c>
      <c r="G310" t="s">
        <v>1145</v>
      </c>
      <c r="H310" t="s">
        <v>84</v>
      </c>
      <c r="I310" t="s">
        <v>175</v>
      </c>
      <c r="J310" t="s">
        <v>230</v>
      </c>
      <c r="K310" t="s">
        <v>27</v>
      </c>
      <c r="L310" t="s">
        <v>28</v>
      </c>
      <c r="M310" t="s">
        <v>93</v>
      </c>
      <c r="N310" t="s">
        <v>30</v>
      </c>
      <c r="O310" t="s">
        <v>31</v>
      </c>
      <c r="P310" t="s">
        <v>733</v>
      </c>
      <c r="Q310" t="s">
        <v>765</v>
      </c>
      <c r="R310" t="s">
        <v>234</v>
      </c>
      <c r="S310" t="s">
        <v>1146</v>
      </c>
    </row>
    <row r="311" ht="55" customHeight="1" spans="1:19">
      <c r="A311" s="1" t="str">
        <f>_xlfn.DISPIMG("ID_A81DA34BBE5E4DD296CE700B34E49BA1",1)</f>
        <v>=DISPIMG("ID_A81DA34BBE5E4DD296CE700B34E49BA1",1)</v>
      </c>
      <c r="B311" t="s">
        <v>534</v>
      </c>
      <c r="C311" t="s">
        <v>1147</v>
      </c>
      <c r="D311" t="s">
        <v>349</v>
      </c>
      <c r="E311" t="s">
        <v>82</v>
      </c>
      <c r="F311" t="s">
        <v>40</v>
      </c>
      <c r="G311" t="s">
        <v>724</v>
      </c>
      <c r="H311" t="s">
        <v>82</v>
      </c>
      <c r="I311" t="s">
        <v>42</v>
      </c>
      <c r="J311" t="s">
        <v>26</v>
      </c>
      <c r="K311" t="s">
        <v>27</v>
      </c>
      <c r="L311" t="s">
        <v>28</v>
      </c>
      <c r="M311" t="s">
        <v>29</v>
      </c>
      <c r="N311" t="s">
        <v>30</v>
      </c>
      <c r="O311" t="s">
        <v>31</v>
      </c>
      <c r="P311" t="s">
        <v>75</v>
      </c>
      <c r="Q311" t="s">
        <v>85</v>
      </c>
      <c r="R311" t="s">
        <v>1148</v>
      </c>
      <c r="S311" t="s">
        <v>1149</v>
      </c>
    </row>
    <row r="312" ht="55" customHeight="1" spans="1:19">
      <c r="A312" s="1" t="str">
        <f>_xlfn.DISPIMG("ID_500D700AA1264A26AEE67FBBD5102711",1)</f>
        <v>=DISPIMG("ID_500D700AA1264A26AEE67FBBD5102711",1)</v>
      </c>
      <c r="B312" t="s">
        <v>1150</v>
      </c>
      <c r="C312" t="s">
        <v>594</v>
      </c>
      <c r="D312" t="s">
        <v>1151</v>
      </c>
      <c r="E312" t="s">
        <v>100</v>
      </c>
      <c r="F312" t="s">
        <v>162</v>
      </c>
      <c r="G312" t="s">
        <v>127</v>
      </c>
      <c r="H312" t="s">
        <v>100</v>
      </c>
      <c r="I312" t="s">
        <v>175</v>
      </c>
      <c r="J312" t="s">
        <v>230</v>
      </c>
      <c r="K312" t="s">
        <v>27</v>
      </c>
      <c r="L312" t="s">
        <v>28</v>
      </c>
      <c r="M312" t="s">
        <v>166</v>
      </c>
      <c r="N312" t="s">
        <v>30</v>
      </c>
      <c r="O312" t="s">
        <v>31</v>
      </c>
      <c r="P312" t="s">
        <v>75</v>
      </c>
      <c r="Q312" t="s">
        <v>76</v>
      </c>
      <c r="R312" t="s">
        <v>1077</v>
      </c>
      <c r="S312" t="s">
        <v>1152</v>
      </c>
    </row>
    <row r="313" ht="55" customHeight="1" spans="1:19">
      <c r="A313" s="1" t="str">
        <f>_xlfn.DISPIMG("ID_DE34F7DE4E5D4B0C91F0E5F689B1A937",1)</f>
        <v>=DISPIMG("ID_DE34F7DE4E5D4B0C91F0E5F689B1A937",1)</v>
      </c>
      <c r="B313" t="s">
        <v>97</v>
      </c>
      <c r="C313" t="s">
        <v>1153</v>
      </c>
      <c r="D313" t="s">
        <v>279</v>
      </c>
      <c r="E313" t="s">
        <v>164</v>
      </c>
      <c r="F313" t="s">
        <v>51</v>
      </c>
      <c r="G313" t="s">
        <v>101</v>
      </c>
      <c r="H313" t="s">
        <v>164</v>
      </c>
      <c r="I313" t="s">
        <v>42</v>
      </c>
      <c r="J313" t="s">
        <v>26</v>
      </c>
      <c r="K313" t="s">
        <v>27</v>
      </c>
      <c r="L313" t="s">
        <v>28</v>
      </c>
      <c r="M313" t="s">
        <v>29</v>
      </c>
      <c r="N313" t="s">
        <v>64</v>
      </c>
      <c r="O313" t="s">
        <v>31</v>
      </c>
      <c r="P313" t="s">
        <v>301</v>
      </c>
      <c r="Q313" t="s">
        <v>76</v>
      </c>
      <c r="R313" t="s">
        <v>147</v>
      </c>
      <c r="S313" t="s">
        <v>1154</v>
      </c>
    </row>
    <row r="314" ht="55" customHeight="1" spans="1:19">
      <c r="A314" s="1" t="str">
        <f>_xlfn.DISPIMG("ID_66219748FB4E4BAE8CC567A135D871F9",1)</f>
        <v>=DISPIMG("ID_66219748FB4E4BAE8CC567A135D871F9",1)</v>
      </c>
      <c r="B314" t="s">
        <v>1155</v>
      </c>
      <c r="C314" t="s">
        <v>1156</v>
      </c>
      <c r="D314" t="s">
        <v>315</v>
      </c>
      <c r="E314" t="s">
        <v>316</v>
      </c>
      <c r="F314" t="s">
        <v>173</v>
      </c>
      <c r="G314" t="s">
        <v>127</v>
      </c>
      <c r="H314" t="s">
        <v>144</v>
      </c>
      <c r="I314" t="s">
        <v>175</v>
      </c>
      <c r="J314" t="s">
        <v>26</v>
      </c>
      <c r="K314" t="s">
        <v>27</v>
      </c>
      <c r="L314" t="s">
        <v>28</v>
      </c>
      <c r="M314" t="s">
        <v>93</v>
      </c>
      <c r="N314" t="s">
        <v>64</v>
      </c>
      <c r="O314" t="s">
        <v>31</v>
      </c>
      <c r="P314" t="s">
        <v>75</v>
      </c>
      <c r="Q314" t="s">
        <v>427</v>
      </c>
      <c r="R314" t="s">
        <v>820</v>
      </c>
      <c r="S314" t="s">
        <v>1157</v>
      </c>
    </row>
    <row r="315" ht="55" customHeight="1" spans="1:19">
      <c r="A315" s="1" t="str">
        <f>_xlfn.DISPIMG("ID_B712AE37269C4DF3A3856D0E48C11CD6",1)</f>
        <v>=DISPIMG("ID_B712AE37269C4DF3A3856D0E48C11CD6",1)</v>
      </c>
      <c r="B315" t="s">
        <v>417</v>
      </c>
      <c r="C315" t="s">
        <v>266</v>
      </c>
      <c r="D315" t="s">
        <v>681</v>
      </c>
      <c r="E315" t="s">
        <v>82</v>
      </c>
      <c r="F315" t="s">
        <v>91</v>
      </c>
      <c r="G315" t="s">
        <v>127</v>
      </c>
      <c r="H315" t="s">
        <v>84</v>
      </c>
      <c r="I315" t="s">
        <v>175</v>
      </c>
      <c r="J315" t="s">
        <v>26</v>
      </c>
      <c r="K315" t="s">
        <v>27</v>
      </c>
      <c r="L315" t="s">
        <v>231</v>
      </c>
      <c r="M315" t="s">
        <v>93</v>
      </c>
      <c r="N315" t="s">
        <v>30</v>
      </c>
      <c r="O315" t="s">
        <v>31</v>
      </c>
      <c r="P315" t="s">
        <v>247</v>
      </c>
      <c r="Q315" t="s">
        <v>76</v>
      </c>
      <c r="R315" t="s">
        <v>420</v>
      </c>
      <c r="S315" t="s">
        <v>1158</v>
      </c>
    </row>
    <row r="316" ht="55" customHeight="1" spans="1:19">
      <c r="A316" s="1" t="str">
        <f>_xlfn.DISPIMG("ID_B24B336F6579402C982D4E306637078F",1)</f>
        <v>=DISPIMG("ID_B24B336F6579402C982D4E306637078F",1)</v>
      </c>
      <c r="B316" t="s">
        <v>1060</v>
      </c>
      <c r="C316" t="s">
        <v>1159</v>
      </c>
      <c r="D316" t="s">
        <v>1160</v>
      </c>
      <c r="E316" t="s">
        <v>84</v>
      </c>
      <c r="F316" t="s">
        <v>91</v>
      </c>
      <c r="G316" t="s">
        <v>127</v>
      </c>
      <c r="H316" t="s">
        <v>84</v>
      </c>
      <c r="I316" t="s">
        <v>42</v>
      </c>
      <c r="J316" t="s">
        <v>26</v>
      </c>
      <c r="K316" t="s">
        <v>27</v>
      </c>
      <c r="L316" t="s">
        <v>74</v>
      </c>
      <c r="M316" t="s">
        <v>93</v>
      </c>
      <c r="N316" t="s">
        <v>30</v>
      </c>
      <c r="O316" t="s">
        <v>31</v>
      </c>
      <c r="P316" t="s">
        <v>733</v>
      </c>
      <c r="Q316" t="s">
        <v>539</v>
      </c>
      <c r="R316" t="s">
        <v>1161</v>
      </c>
      <c r="S316" t="s">
        <v>1162</v>
      </c>
    </row>
    <row r="317" ht="55" customHeight="1" spans="1:19">
      <c r="A317" s="1" t="str">
        <f>_xlfn.DISPIMG("ID_F471799727624293A907F21AC4925521",1)</f>
        <v>=DISPIMG("ID_F471799727624293A907F21AC4925521",1)</v>
      </c>
      <c r="B317" t="s">
        <v>1163</v>
      </c>
      <c r="C317" t="s">
        <v>70</v>
      </c>
      <c r="D317" t="s">
        <v>1037</v>
      </c>
      <c r="E317" t="s">
        <v>161</v>
      </c>
      <c r="F317" t="s">
        <v>91</v>
      </c>
      <c r="G317" t="s">
        <v>83</v>
      </c>
      <c r="H317" t="s">
        <v>164</v>
      </c>
      <c r="I317" t="s">
        <v>175</v>
      </c>
      <c r="J317" t="s">
        <v>26</v>
      </c>
      <c r="K317" t="s">
        <v>27</v>
      </c>
      <c r="L317" t="s">
        <v>231</v>
      </c>
      <c r="M317" t="s">
        <v>93</v>
      </c>
      <c r="N317" t="s">
        <v>30</v>
      </c>
      <c r="O317" t="s">
        <v>31</v>
      </c>
      <c r="P317" t="s">
        <v>247</v>
      </c>
      <c r="Q317" t="s">
        <v>286</v>
      </c>
      <c r="R317" t="s">
        <v>1164</v>
      </c>
      <c r="S317" t="s">
        <v>1165</v>
      </c>
    </row>
    <row r="318" ht="55" customHeight="1" spans="1:19">
      <c r="A318" s="1" t="str">
        <f>_xlfn.DISPIMG("ID_93B9E4668E87487A892149C7D3D8C08B",1)</f>
        <v>=DISPIMG("ID_93B9E4668E87487A892149C7D3D8C08B",1)</v>
      </c>
      <c r="B318" t="s">
        <v>257</v>
      </c>
      <c r="C318" t="s">
        <v>651</v>
      </c>
      <c r="D318" t="s">
        <v>524</v>
      </c>
      <c r="E318" t="s">
        <v>63</v>
      </c>
      <c r="F318" t="s">
        <v>51</v>
      </c>
      <c r="G318" t="s">
        <v>181</v>
      </c>
      <c r="H318" t="s">
        <v>63</v>
      </c>
      <c r="I318" t="s">
        <v>25</v>
      </c>
      <c r="J318" t="s">
        <v>26</v>
      </c>
      <c r="K318" t="s">
        <v>27</v>
      </c>
      <c r="L318" t="s">
        <v>74</v>
      </c>
      <c r="M318" t="s">
        <v>29</v>
      </c>
      <c r="N318" t="s">
        <v>64</v>
      </c>
      <c r="O318" t="s">
        <v>31</v>
      </c>
      <c r="P318" t="s">
        <v>54</v>
      </c>
      <c r="Q318" t="s">
        <v>55</v>
      </c>
      <c r="R318" t="s">
        <v>263</v>
      </c>
      <c r="S318" t="s">
        <v>1166</v>
      </c>
    </row>
    <row r="319" ht="55" customHeight="1" spans="1:19">
      <c r="A319" s="1" t="str">
        <f>_xlfn.DISPIMG("ID_625F5F6BB506474CA9C50323AAF3D0D0",1)</f>
        <v>=DISPIMG("ID_625F5F6BB506474CA9C50323AAF3D0D0",1)</v>
      </c>
      <c r="B319" t="s">
        <v>1060</v>
      </c>
      <c r="C319" t="s">
        <v>1167</v>
      </c>
      <c r="D319" t="s">
        <v>681</v>
      </c>
      <c r="E319" t="s">
        <v>874</v>
      </c>
      <c r="F319" t="s">
        <v>91</v>
      </c>
      <c r="G319" t="s">
        <v>306</v>
      </c>
      <c r="H319" t="s">
        <v>461</v>
      </c>
      <c r="I319" t="s">
        <v>42</v>
      </c>
      <c r="J319" t="s">
        <v>26</v>
      </c>
      <c r="K319" t="s">
        <v>27</v>
      </c>
      <c r="L319" t="s">
        <v>28</v>
      </c>
      <c r="M319" t="s">
        <v>93</v>
      </c>
      <c r="N319" t="s">
        <v>30</v>
      </c>
      <c r="O319" t="s">
        <v>31</v>
      </c>
      <c r="P319" t="s">
        <v>491</v>
      </c>
      <c r="Q319" t="s">
        <v>183</v>
      </c>
      <c r="R319" t="s">
        <v>130</v>
      </c>
      <c r="S319" t="s">
        <v>1168</v>
      </c>
    </row>
    <row r="320" ht="55" customHeight="1" spans="1:19">
      <c r="A320" s="1" t="str">
        <f>_xlfn.DISPIMG("ID_867EEDF690FF4F819B5EA1BC8B5ED792",1)</f>
        <v>=DISPIMG("ID_867EEDF690FF4F819B5EA1BC8B5ED792",1)</v>
      </c>
      <c r="B320" t="s">
        <v>320</v>
      </c>
      <c r="C320" t="s">
        <v>1169</v>
      </c>
      <c r="D320" t="s">
        <v>1170</v>
      </c>
      <c r="E320" t="s">
        <v>573</v>
      </c>
      <c r="F320" t="s">
        <v>173</v>
      </c>
      <c r="G320" t="s">
        <v>690</v>
      </c>
      <c r="H320" t="s">
        <v>211</v>
      </c>
      <c r="I320" t="s">
        <v>175</v>
      </c>
      <c r="J320" t="s">
        <v>26</v>
      </c>
      <c r="K320" t="s">
        <v>27</v>
      </c>
      <c r="L320" t="s">
        <v>74</v>
      </c>
      <c r="M320" t="s">
        <v>93</v>
      </c>
      <c r="N320" t="s">
        <v>30</v>
      </c>
      <c r="O320" t="s">
        <v>31</v>
      </c>
      <c r="P320" t="s">
        <v>437</v>
      </c>
      <c r="Q320" t="s">
        <v>33</v>
      </c>
      <c r="R320" t="s">
        <v>324</v>
      </c>
      <c r="S320" t="s">
        <v>1171</v>
      </c>
    </row>
    <row r="321" ht="55" customHeight="1" spans="1:19">
      <c r="A321" s="1" t="str">
        <f>_xlfn.DISPIMG("ID_D6C507A940A949F1A776AB3E1B077C2B",1)</f>
        <v>=DISPIMG("ID_D6C507A940A949F1A776AB3E1B077C2B",1)</v>
      </c>
      <c r="B321" t="s">
        <v>667</v>
      </c>
      <c r="C321" t="s">
        <v>1172</v>
      </c>
      <c r="D321" t="s">
        <v>1173</v>
      </c>
      <c r="E321" t="s">
        <v>50</v>
      </c>
      <c r="F321" t="s">
        <v>228</v>
      </c>
      <c r="G321" t="s">
        <v>101</v>
      </c>
      <c r="H321" t="s">
        <v>50</v>
      </c>
      <c r="I321" t="s">
        <v>165</v>
      </c>
      <c r="J321" t="s">
        <v>26</v>
      </c>
      <c r="K321" t="s">
        <v>27</v>
      </c>
      <c r="L321" t="s">
        <v>28</v>
      </c>
      <c r="M321" t="s">
        <v>232</v>
      </c>
      <c r="N321" t="s">
        <v>64</v>
      </c>
      <c r="O321" t="s">
        <v>31</v>
      </c>
      <c r="P321" t="s">
        <v>128</v>
      </c>
      <c r="Q321" t="s">
        <v>369</v>
      </c>
      <c r="R321" t="s">
        <v>671</v>
      </c>
      <c r="S321" t="s">
        <v>1174</v>
      </c>
    </row>
    <row r="322" ht="55" customHeight="1" spans="1:19">
      <c r="A322" s="1" t="str">
        <f>_xlfn.DISPIMG("ID_C30E9131653C4E3DB36CEB0EC06F4B21",1)</f>
        <v>=DISPIMG("ID_C30E9131653C4E3DB36CEB0EC06F4B21",1)</v>
      </c>
      <c r="B322" t="s">
        <v>1175</v>
      </c>
      <c r="C322" t="s">
        <v>80</v>
      </c>
      <c r="D322" t="s">
        <v>799</v>
      </c>
      <c r="E322" t="s">
        <v>305</v>
      </c>
      <c r="F322" t="s">
        <v>40</v>
      </c>
      <c r="G322" t="s">
        <v>300</v>
      </c>
      <c r="H322" t="s">
        <v>50</v>
      </c>
      <c r="I322" t="s">
        <v>42</v>
      </c>
      <c r="J322" t="s">
        <v>26</v>
      </c>
      <c r="K322" t="s">
        <v>27</v>
      </c>
      <c r="L322" t="s">
        <v>28</v>
      </c>
      <c r="M322" t="s">
        <v>29</v>
      </c>
      <c r="N322" t="s">
        <v>64</v>
      </c>
      <c r="O322" t="s">
        <v>31</v>
      </c>
      <c r="P322" t="s">
        <v>182</v>
      </c>
      <c r="Q322" t="s">
        <v>795</v>
      </c>
      <c r="R322" t="s">
        <v>45</v>
      </c>
      <c r="S322" t="s">
        <v>1176</v>
      </c>
    </row>
    <row r="323" ht="55" customHeight="1" spans="1:19">
      <c r="A323" s="1" t="str">
        <f>_xlfn.DISPIMG("ID_D28DB736391A4C96939F254CEC14B3B8",1)</f>
        <v>=DISPIMG("ID_D28DB736391A4C96939F254CEC14B3B8",1)</v>
      </c>
      <c r="B323" t="s">
        <v>675</v>
      </c>
      <c r="C323" t="s">
        <v>219</v>
      </c>
      <c r="D323" t="s">
        <v>151</v>
      </c>
      <c r="E323" t="s">
        <v>63</v>
      </c>
      <c r="F323" t="s">
        <v>173</v>
      </c>
      <c r="G323" t="s">
        <v>431</v>
      </c>
      <c r="H323" t="s">
        <v>238</v>
      </c>
      <c r="I323" t="s">
        <v>137</v>
      </c>
      <c r="J323" t="s">
        <v>26</v>
      </c>
      <c r="K323" t="s">
        <v>27</v>
      </c>
      <c r="L323" t="s">
        <v>28</v>
      </c>
      <c r="M323" t="s">
        <v>93</v>
      </c>
      <c r="N323" t="s">
        <v>30</v>
      </c>
      <c r="O323" t="s">
        <v>31</v>
      </c>
      <c r="P323" t="s">
        <v>340</v>
      </c>
      <c r="Q323" t="s">
        <v>369</v>
      </c>
      <c r="R323" t="s">
        <v>618</v>
      </c>
      <c r="S323" t="s">
        <v>1177</v>
      </c>
    </row>
    <row r="324" ht="55" customHeight="1" spans="1:19">
      <c r="A324" s="1" t="str">
        <f>_xlfn.DISPIMG("ID_C5D13F9FD96E485C83A5CA1D727A35AC",1)</f>
        <v>=DISPIMG("ID_C5D13F9FD96E485C83A5CA1D727A35AC",1)</v>
      </c>
      <c r="B324" t="s">
        <v>236</v>
      </c>
      <c r="C324" t="s">
        <v>1178</v>
      </c>
      <c r="D324" t="s">
        <v>60</v>
      </c>
      <c r="E324" t="s">
        <v>195</v>
      </c>
      <c r="F324" t="s">
        <v>51</v>
      </c>
      <c r="G324" t="s">
        <v>1179</v>
      </c>
      <c r="H324" t="s">
        <v>195</v>
      </c>
      <c r="I324" t="s">
        <v>42</v>
      </c>
      <c r="J324" t="s">
        <v>26</v>
      </c>
      <c r="K324" t="s">
        <v>27</v>
      </c>
      <c r="L324" t="s">
        <v>323</v>
      </c>
      <c r="M324" t="s">
        <v>29</v>
      </c>
      <c r="N324" t="s">
        <v>30</v>
      </c>
      <c r="O324" t="s">
        <v>31</v>
      </c>
      <c r="P324" t="s">
        <v>65</v>
      </c>
      <c r="Q324" t="s">
        <v>113</v>
      </c>
      <c r="R324" t="s">
        <v>147</v>
      </c>
      <c r="S324" t="s">
        <v>1180</v>
      </c>
    </row>
    <row r="325" ht="55" customHeight="1" spans="1:19">
      <c r="A325" s="1" t="str">
        <f>_xlfn.DISPIMG("ID_F9E620A2154C4A5E9A24510A1337E8F0",1)</f>
        <v>=DISPIMG("ID_F9E620A2154C4A5E9A24510A1337E8F0",1)</v>
      </c>
      <c r="B325" t="s">
        <v>257</v>
      </c>
      <c r="C325" t="s">
        <v>362</v>
      </c>
      <c r="D325" t="s">
        <v>49</v>
      </c>
      <c r="E325" t="s">
        <v>50</v>
      </c>
      <c r="F325" t="s">
        <v>51</v>
      </c>
      <c r="G325" t="s">
        <v>1181</v>
      </c>
      <c r="H325" t="s">
        <v>50</v>
      </c>
      <c r="I325" t="s">
        <v>25</v>
      </c>
      <c r="J325" t="s">
        <v>26</v>
      </c>
      <c r="K325" t="s">
        <v>27</v>
      </c>
      <c r="L325" t="s">
        <v>74</v>
      </c>
      <c r="M325" t="s">
        <v>29</v>
      </c>
      <c r="N325" t="s">
        <v>30</v>
      </c>
      <c r="O325" t="s">
        <v>31</v>
      </c>
      <c r="P325" t="s">
        <v>75</v>
      </c>
      <c r="Q325" t="s">
        <v>539</v>
      </c>
      <c r="R325" t="s">
        <v>263</v>
      </c>
      <c r="S325" t="s">
        <v>1182</v>
      </c>
    </row>
    <row r="326" ht="55" customHeight="1" spans="1:19">
      <c r="A326" s="1" t="str">
        <f>_xlfn.DISPIMG("ID_78DFA0E35EC34F57AFF69EFB1879585E",1)</f>
        <v>=DISPIMG("ID_78DFA0E35EC34F57AFF69EFB1879585E",1)</v>
      </c>
      <c r="B326" t="s">
        <v>1130</v>
      </c>
      <c r="C326" t="s">
        <v>1183</v>
      </c>
      <c r="D326" t="s">
        <v>188</v>
      </c>
      <c r="E326" t="s">
        <v>144</v>
      </c>
      <c r="F326" t="s">
        <v>40</v>
      </c>
      <c r="G326" t="s">
        <v>1109</v>
      </c>
      <c r="H326" t="s">
        <v>144</v>
      </c>
      <c r="I326" t="s">
        <v>42</v>
      </c>
      <c r="J326" t="s">
        <v>26</v>
      </c>
      <c r="K326" t="s">
        <v>27</v>
      </c>
      <c r="L326" t="s">
        <v>28</v>
      </c>
      <c r="M326" t="s">
        <v>29</v>
      </c>
      <c r="N326" t="s">
        <v>30</v>
      </c>
      <c r="O326" t="s">
        <v>31</v>
      </c>
      <c r="P326" t="s">
        <v>261</v>
      </c>
      <c r="Q326" t="s">
        <v>468</v>
      </c>
      <c r="R326" t="s">
        <v>104</v>
      </c>
      <c r="S326" t="s">
        <v>1184</v>
      </c>
    </row>
    <row r="327" ht="55" customHeight="1" spans="1:19">
      <c r="A327" s="1" t="str">
        <f>_xlfn.DISPIMG("ID_982D64542EDB4B79A12FFBAC061958A1",1)</f>
        <v>=DISPIMG("ID_982D64542EDB4B79A12FFBAC061958A1",1)</v>
      </c>
      <c r="B327" t="s">
        <v>465</v>
      </c>
      <c r="C327" t="s">
        <v>1185</v>
      </c>
      <c r="D327" t="s">
        <v>865</v>
      </c>
      <c r="E327" t="s">
        <v>197</v>
      </c>
      <c r="F327" t="s">
        <v>40</v>
      </c>
      <c r="G327" t="s">
        <v>1186</v>
      </c>
      <c r="H327" t="s">
        <v>197</v>
      </c>
      <c r="I327" t="s">
        <v>42</v>
      </c>
      <c r="J327" t="s">
        <v>26</v>
      </c>
      <c r="K327" t="s">
        <v>27</v>
      </c>
      <c r="L327" t="s">
        <v>74</v>
      </c>
      <c r="M327" t="s">
        <v>29</v>
      </c>
      <c r="N327" t="s">
        <v>30</v>
      </c>
      <c r="O327" t="s">
        <v>31</v>
      </c>
      <c r="P327" t="s">
        <v>112</v>
      </c>
      <c r="Q327" t="s">
        <v>248</v>
      </c>
      <c r="R327" t="s">
        <v>45</v>
      </c>
      <c r="S327" t="s">
        <v>1187</v>
      </c>
    </row>
    <row r="328" ht="55" customHeight="1" spans="1:19">
      <c r="A328" s="1" t="str">
        <f>_xlfn.DISPIMG("ID_9EAE2A224F04478EB19166A1DD612584",1)</f>
        <v>=DISPIMG("ID_9EAE2A224F04478EB19166A1DD612584",1)</v>
      </c>
      <c r="B328" t="s">
        <v>236</v>
      </c>
      <c r="C328" t="s">
        <v>1188</v>
      </c>
      <c r="D328" t="s">
        <v>644</v>
      </c>
      <c r="E328" t="s">
        <v>328</v>
      </c>
      <c r="F328" t="s">
        <v>51</v>
      </c>
      <c r="G328" t="s">
        <v>894</v>
      </c>
      <c r="H328" t="s">
        <v>119</v>
      </c>
      <c r="I328" t="s">
        <v>42</v>
      </c>
      <c r="J328" t="s">
        <v>26</v>
      </c>
      <c r="K328" t="s">
        <v>27</v>
      </c>
      <c r="L328" t="s">
        <v>28</v>
      </c>
      <c r="M328" t="s">
        <v>29</v>
      </c>
      <c r="N328" t="s">
        <v>30</v>
      </c>
      <c r="O328" t="s">
        <v>31</v>
      </c>
      <c r="P328" t="s">
        <v>75</v>
      </c>
      <c r="Q328" t="s">
        <v>167</v>
      </c>
      <c r="R328" t="s">
        <v>104</v>
      </c>
      <c r="S328" t="s">
        <v>1189</v>
      </c>
    </row>
    <row r="329" ht="55" customHeight="1" spans="1:19">
      <c r="A329" s="1" t="str">
        <f>_xlfn.DISPIMG("ID_2586697A0F404F5CAB8C571E4FAFC6BE",1)</f>
        <v>=DISPIMG("ID_2586697A0F404F5CAB8C571E4FAFC6BE",1)</v>
      </c>
      <c r="B329" t="s">
        <v>1048</v>
      </c>
      <c r="C329" t="s">
        <v>1190</v>
      </c>
      <c r="D329" t="s">
        <v>799</v>
      </c>
      <c r="E329" t="s">
        <v>929</v>
      </c>
      <c r="F329" t="s">
        <v>770</v>
      </c>
      <c r="G329" t="s">
        <v>83</v>
      </c>
      <c r="H329" t="s">
        <v>357</v>
      </c>
      <c r="I329" t="s">
        <v>25</v>
      </c>
      <c r="J329" t="s">
        <v>26</v>
      </c>
      <c r="K329" t="s">
        <v>27</v>
      </c>
      <c r="L329" t="s">
        <v>53</v>
      </c>
      <c r="M329" t="s">
        <v>29</v>
      </c>
      <c r="N329" t="s">
        <v>30</v>
      </c>
      <c r="O329" t="s">
        <v>153</v>
      </c>
      <c r="P329" t="s">
        <v>65</v>
      </c>
      <c r="Q329" t="s">
        <v>297</v>
      </c>
      <c r="R329" t="s">
        <v>771</v>
      </c>
      <c r="S329" t="s">
        <v>1191</v>
      </c>
    </row>
    <row r="330" ht="55" customHeight="1" spans="1:19">
      <c r="A330" s="1" t="str">
        <f>_xlfn.DISPIMG("ID_9D3896E74E5149BB8F3B879B2BD471E0",1)</f>
        <v>=DISPIMG("ID_9D3896E74E5149BB8F3B879B2BD471E0",1)</v>
      </c>
      <c r="B330" t="s">
        <v>1192</v>
      </c>
      <c r="C330" t="s">
        <v>1193</v>
      </c>
      <c r="D330" t="s">
        <v>435</v>
      </c>
      <c r="E330" t="s">
        <v>63</v>
      </c>
      <c r="F330" t="s">
        <v>40</v>
      </c>
      <c r="G330" t="s">
        <v>312</v>
      </c>
      <c r="H330" t="s">
        <v>63</v>
      </c>
      <c r="I330" t="s">
        <v>42</v>
      </c>
      <c r="J330" t="s">
        <v>26</v>
      </c>
      <c r="K330" t="s">
        <v>27</v>
      </c>
      <c r="L330" t="s">
        <v>74</v>
      </c>
      <c r="M330" t="s">
        <v>29</v>
      </c>
      <c r="N330" t="s">
        <v>64</v>
      </c>
      <c r="O330" t="s">
        <v>31</v>
      </c>
      <c r="P330" t="s">
        <v>65</v>
      </c>
      <c r="Q330" t="s">
        <v>795</v>
      </c>
      <c r="R330" t="s">
        <v>1194</v>
      </c>
      <c r="S330" t="s">
        <v>1195</v>
      </c>
    </row>
    <row r="331" ht="55" customHeight="1" spans="1:19">
      <c r="A331" s="1" t="str">
        <f>_xlfn.DISPIMG("ID_9F88A2B0C05B42558118BFA9650D8561",1)</f>
        <v>=DISPIMG("ID_9F88A2B0C05B42558118BFA9650D8561",1)</v>
      </c>
      <c r="B331" t="s">
        <v>141</v>
      </c>
      <c r="C331" t="s">
        <v>37</v>
      </c>
      <c r="D331" t="s">
        <v>435</v>
      </c>
      <c r="E331" t="s">
        <v>63</v>
      </c>
      <c r="F331" t="s">
        <v>40</v>
      </c>
      <c r="G331" t="s">
        <v>306</v>
      </c>
      <c r="H331" t="s">
        <v>63</v>
      </c>
      <c r="I331" t="s">
        <v>42</v>
      </c>
      <c r="J331" t="s">
        <v>26</v>
      </c>
      <c r="K331" t="s">
        <v>27</v>
      </c>
      <c r="L331" t="s">
        <v>53</v>
      </c>
      <c r="M331" t="s">
        <v>29</v>
      </c>
      <c r="N331" t="s">
        <v>30</v>
      </c>
      <c r="O331" t="s">
        <v>31</v>
      </c>
      <c r="P331" t="s">
        <v>247</v>
      </c>
      <c r="Q331" t="s">
        <v>113</v>
      </c>
      <c r="R331" t="s">
        <v>86</v>
      </c>
      <c r="S331" t="s">
        <v>1196</v>
      </c>
    </row>
    <row r="332" ht="55" customHeight="1" spans="1:19">
      <c r="A332" s="1" t="str">
        <f>_xlfn.DISPIMG("ID_CF57DE587D604920B77280BD458E02DC",1)</f>
        <v>=DISPIMG("ID_CF57DE587D604920B77280BD458E02DC",1)</v>
      </c>
      <c r="B332" t="s">
        <v>116</v>
      </c>
      <c r="C332" t="s">
        <v>951</v>
      </c>
      <c r="D332" t="s">
        <v>865</v>
      </c>
      <c r="E332" t="s">
        <v>204</v>
      </c>
      <c r="F332" t="s">
        <v>40</v>
      </c>
      <c r="G332" t="s">
        <v>831</v>
      </c>
      <c r="H332" t="s">
        <v>72</v>
      </c>
      <c r="I332" t="s">
        <v>42</v>
      </c>
      <c r="J332" t="s">
        <v>26</v>
      </c>
      <c r="K332" t="s">
        <v>27</v>
      </c>
      <c r="L332" t="s">
        <v>53</v>
      </c>
      <c r="M332" t="s">
        <v>29</v>
      </c>
      <c r="N332" t="s">
        <v>30</v>
      </c>
      <c r="O332" t="s">
        <v>31</v>
      </c>
      <c r="P332" t="s">
        <v>65</v>
      </c>
      <c r="Q332" t="s">
        <v>994</v>
      </c>
      <c r="R332" t="s">
        <v>45</v>
      </c>
      <c r="S332" t="s">
        <v>1197</v>
      </c>
    </row>
    <row r="333" ht="55" customHeight="1" spans="1:19">
      <c r="A333" s="1" t="str">
        <f>_xlfn.DISPIMG("ID_841C2B2E1CC347A9817BAF03D0A44689",1)</f>
        <v>=DISPIMG("ID_841C2B2E1CC347A9817BAF03D0A44689",1)</v>
      </c>
      <c r="B333" t="s">
        <v>282</v>
      </c>
      <c r="C333" t="s">
        <v>1198</v>
      </c>
      <c r="D333" t="s">
        <v>244</v>
      </c>
      <c r="E333" t="s">
        <v>659</v>
      </c>
      <c r="F333" t="s">
        <v>40</v>
      </c>
      <c r="G333" t="s">
        <v>1199</v>
      </c>
      <c r="H333" t="s">
        <v>659</v>
      </c>
      <c r="I333" t="s">
        <v>42</v>
      </c>
      <c r="J333" t="s">
        <v>26</v>
      </c>
      <c r="K333" t="s">
        <v>27</v>
      </c>
      <c r="L333" t="s">
        <v>74</v>
      </c>
      <c r="M333" t="s">
        <v>29</v>
      </c>
      <c r="N333" t="s">
        <v>30</v>
      </c>
      <c r="O333" t="s">
        <v>31</v>
      </c>
      <c r="P333" t="s">
        <v>274</v>
      </c>
      <c r="Q333" t="s">
        <v>269</v>
      </c>
      <c r="R333" t="s">
        <v>147</v>
      </c>
      <c r="S333" t="s">
        <v>1200</v>
      </c>
    </row>
    <row r="334" ht="55" customHeight="1" spans="1:19">
      <c r="A334" s="1" t="str">
        <f>_xlfn.DISPIMG("ID_7D4D7AA4EC5E4449B4836637A56AF056",1)</f>
        <v>=DISPIMG("ID_7D4D7AA4EC5E4449B4836637A56AF056",1)</v>
      </c>
      <c r="B334" t="s">
        <v>1150</v>
      </c>
      <c r="C334" t="s">
        <v>1201</v>
      </c>
      <c r="D334" t="s">
        <v>1202</v>
      </c>
      <c r="E334" t="s">
        <v>39</v>
      </c>
      <c r="F334" t="s">
        <v>162</v>
      </c>
      <c r="G334" t="s">
        <v>101</v>
      </c>
      <c r="H334" t="s">
        <v>39</v>
      </c>
      <c r="I334" t="s">
        <v>175</v>
      </c>
      <c r="J334" t="s">
        <v>230</v>
      </c>
      <c r="K334" t="s">
        <v>27</v>
      </c>
      <c r="L334" t="s">
        <v>28</v>
      </c>
      <c r="M334" t="s">
        <v>166</v>
      </c>
      <c r="N334" t="s">
        <v>30</v>
      </c>
      <c r="O334" t="s">
        <v>31</v>
      </c>
      <c r="P334" t="s">
        <v>65</v>
      </c>
      <c r="Q334" t="s">
        <v>1203</v>
      </c>
      <c r="R334" t="s">
        <v>1077</v>
      </c>
      <c r="S334" t="s">
        <v>1204</v>
      </c>
    </row>
    <row r="335" ht="55" customHeight="1" spans="1:19">
      <c r="A335" s="1" t="str">
        <f>_xlfn.DISPIMG("ID_81ADFC21FEB5495FBEFF38009CE9A44F",1)</f>
        <v>=DISPIMG("ID_81ADFC21FEB5495FBEFF38009CE9A44F",1)</v>
      </c>
      <c r="B335" t="s">
        <v>236</v>
      </c>
      <c r="C335" t="s">
        <v>59</v>
      </c>
      <c r="D335" t="s">
        <v>379</v>
      </c>
      <c r="E335" t="s">
        <v>119</v>
      </c>
      <c r="F335" t="s">
        <v>51</v>
      </c>
      <c r="G335" t="s">
        <v>702</v>
      </c>
      <c r="H335" t="s">
        <v>119</v>
      </c>
      <c r="I335" t="s">
        <v>42</v>
      </c>
      <c r="J335" t="s">
        <v>26</v>
      </c>
      <c r="K335" t="s">
        <v>27</v>
      </c>
      <c r="L335" t="s">
        <v>74</v>
      </c>
      <c r="M335" t="s">
        <v>29</v>
      </c>
      <c r="N335" t="s">
        <v>30</v>
      </c>
      <c r="O335" t="s">
        <v>31</v>
      </c>
      <c r="P335" t="s">
        <v>437</v>
      </c>
      <c r="Q335" t="s">
        <v>76</v>
      </c>
      <c r="R335" t="s">
        <v>104</v>
      </c>
      <c r="S335" t="s">
        <v>1205</v>
      </c>
    </row>
    <row r="336" ht="55" customHeight="1" spans="1:19">
      <c r="A336" s="1" t="str">
        <f>_xlfn.DISPIMG("ID_D625C0FE97C54907BECE00F7D0B2931C",1)</f>
        <v>=DISPIMG("ID_D625C0FE97C54907BECE00F7D0B2931C",1)</v>
      </c>
      <c r="B336" t="s">
        <v>1206</v>
      </c>
      <c r="C336" t="s">
        <v>1025</v>
      </c>
      <c r="D336" t="s">
        <v>762</v>
      </c>
      <c r="E336" t="s">
        <v>573</v>
      </c>
      <c r="F336" t="s">
        <v>91</v>
      </c>
      <c r="G336" t="s">
        <v>1207</v>
      </c>
      <c r="H336" t="s">
        <v>211</v>
      </c>
      <c r="I336" t="s">
        <v>137</v>
      </c>
      <c r="J336" t="s">
        <v>26</v>
      </c>
      <c r="K336" t="s">
        <v>27</v>
      </c>
      <c r="L336" t="s">
        <v>231</v>
      </c>
      <c r="M336" t="s">
        <v>93</v>
      </c>
      <c r="N336" t="s">
        <v>30</v>
      </c>
      <c r="O336" t="s">
        <v>31</v>
      </c>
      <c r="P336" t="s">
        <v>543</v>
      </c>
      <c r="Q336" t="s">
        <v>76</v>
      </c>
      <c r="R336" t="s">
        <v>130</v>
      </c>
      <c r="S336" t="s">
        <v>1208</v>
      </c>
    </row>
    <row r="337" ht="55" customHeight="1" spans="1:19">
      <c r="A337" s="1" t="str">
        <f>_xlfn.DISPIMG("ID_78FCF941718548A897E3EA65E8A976C8",1)</f>
        <v>=DISPIMG("ID_78FCF941718548A897E3EA65E8A976C8",1)</v>
      </c>
      <c r="B337" t="s">
        <v>47</v>
      </c>
      <c r="C337" t="s">
        <v>961</v>
      </c>
      <c r="D337" t="s">
        <v>730</v>
      </c>
      <c r="E337" t="s">
        <v>731</v>
      </c>
      <c r="F337" t="s">
        <v>51</v>
      </c>
      <c r="G337" t="s">
        <v>260</v>
      </c>
      <c r="H337" t="s">
        <v>731</v>
      </c>
      <c r="I337" t="s">
        <v>25</v>
      </c>
      <c r="J337" t="s">
        <v>26</v>
      </c>
      <c r="K337" t="s">
        <v>27</v>
      </c>
      <c r="L337" t="s">
        <v>74</v>
      </c>
      <c r="M337" t="s">
        <v>29</v>
      </c>
      <c r="N337" t="s">
        <v>30</v>
      </c>
      <c r="O337" t="s">
        <v>31</v>
      </c>
      <c r="P337" t="s">
        <v>65</v>
      </c>
      <c r="Q337" t="s">
        <v>297</v>
      </c>
      <c r="R337" t="s">
        <v>56</v>
      </c>
      <c r="S337" t="s">
        <v>1209</v>
      </c>
    </row>
    <row r="338" ht="55" customHeight="1" spans="1:19">
      <c r="A338" s="1" t="str">
        <f>_xlfn.DISPIMG("ID_00DE928EFB4742EB93B61E4BF0AE9E1C",1)</f>
        <v>=DISPIMG("ID_00DE928EFB4742EB93B61E4BF0AE9E1C",1)</v>
      </c>
      <c r="B338" t="s">
        <v>1210</v>
      </c>
      <c r="C338" t="s">
        <v>1211</v>
      </c>
      <c r="D338" t="s">
        <v>799</v>
      </c>
      <c r="E338" t="s">
        <v>305</v>
      </c>
      <c r="F338" t="s">
        <v>40</v>
      </c>
      <c r="G338" t="s">
        <v>246</v>
      </c>
      <c r="H338" t="s">
        <v>50</v>
      </c>
      <c r="I338" t="s">
        <v>42</v>
      </c>
      <c r="J338" t="s">
        <v>26</v>
      </c>
      <c r="K338" t="s">
        <v>27</v>
      </c>
      <c r="L338" t="s">
        <v>28</v>
      </c>
      <c r="M338" t="s">
        <v>29</v>
      </c>
      <c r="N338" t="s">
        <v>30</v>
      </c>
      <c r="O338" t="s">
        <v>31</v>
      </c>
      <c r="P338" t="s">
        <v>182</v>
      </c>
      <c r="Q338" t="s">
        <v>167</v>
      </c>
      <c r="R338" t="s">
        <v>832</v>
      </c>
      <c r="S338" t="s">
        <v>1212</v>
      </c>
    </row>
    <row r="339" ht="55" customHeight="1" spans="1:19">
      <c r="A339" s="1" t="str">
        <f>_xlfn.DISPIMG("ID_5801A8EB88394AB89FCE11B44B8B0B96",1)</f>
        <v>=DISPIMG("ID_5801A8EB88394AB89FCE11B44B8B0B96",1)</v>
      </c>
      <c r="B339" t="s">
        <v>509</v>
      </c>
      <c r="C339" t="s">
        <v>663</v>
      </c>
      <c r="D339" t="s">
        <v>60</v>
      </c>
      <c r="E339" t="s">
        <v>61</v>
      </c>
      <c r="F339" t="s">
        <v>512</v>
      </c>
      <c r="G339" t="s">
        <v>444</v>
      </c>
      <c r="H339" t="s">
        <v>63</v>
      </c>
      <c r="I339" t="s">
        <v>137</v>
      </c>
      <c r="J339" t="s">
        <v>26</v>
      </c>
      <c r="K339" t="s">
        <v>27</v>
      </c>
      <c r="L339" t="s">
        <v>28</v>
      </c>
      <c r="M339" t="s">
        <v>513</v>
      </c>
      <c r="N339" t="s">
        <v>30</v>
      </c>
      <c r="O339" t="s">
        <v>31</v>
      </c>
      <c r="P339" t="s">
        <v>138</v>
      </c>
      <c r="Q339" t="s">
        <v>248</v>
      </c>
      <c r="R339" t="s">
        <v>456</v>
      </c>
      <c r="S339" t="s">
        <v>1213</v>
      </c>
    </row>
    <row r="340" ht="55" customHeight="1" spans="1:19">
      <c r="A340" s="1" t="str">
        <f>_xlfn.DISPIMG("ID_57F641FC6CF043E79DC7507AA1BA774C",1)</f>
        <v>=DISPIMG("ID_57F641FC6CF043E79DC7507AA1BA774C",1)</v>
      </c>
      <c r="B340" t="s">
        <v>429</v>
      </c>
      <c r="C340" t="s">
        <v>560</v>
      </c>
      <c r="D340" t="s">
        <v>400</v>
      </c>
      <c r="E340" t="s">
        <v>211</v>
      </c>
      <c r="F340" t="s">
        <v>91</v>
      </c>
      <c r="G340" t="s">
        <v>1214</v>
      </c>
      <c r="H340" t="s">
        <v>211</v>
      </c>
      <c r="I340" t="s">
        <v>25</v>
      </c>
      <c r="J340" t="s">
        <v>26</v>
      </c>
      <c r="K340" t="s">
        <v>27</v>
      </c>
      <c r="L340" t="s">
        <v>231</v>
      </c>
      <c r="M340" t="s">
        <v>93</v>
      </c>
      <c r="N340" t="s">
        <v>30</v>
      </c>
      <c r="O340" t="s">
        <v>31</v>
      </c>
      <c r="P340" t="s">
        <v>112</v>
      </c>
      <c r="Q340" t="s">
        <v>167</v>
      </c>
      <c r="R340" t="s">
        <v>432</v>
      </c>
      <c r="S340" t="s">
        <v>1215</v>
      </c>
    </row>
    <row r="341" ht="55" customHeight="1" spans="1:19">
      <c r="A341" s="1" t="str">
        <f>_xlfn.DISPIMG("ID_DB91E62E8FFE4BE0BCC69EDA15B3C356",1)</f>
        <v>=DISPIMG("ID_DB91E62E8FFE4BE0BCC69EDA15B3C356",1)</v>
      </c>
      <c r="B341" t="s">
        <v>1216</v>
      </c>
      <c r="C341" t="s">
        <v>1217</v>
      </c>
      <c r="D341" t="s">
        <v>322</v>
      </c>
      <c r="E341" t="s">
        <v>1095</v>
      </c>
      <c r="F341" t="s">
        <v>173</v>
      </c>
      <c r="G341" t="s">
        <v>1218</v>
      </c>
      <c r="H341" t="s">
        <v>461</v>
      </c>
      <c r="I341" t="s">
        <v>175</v>
      </c>
      <c r="J341" t="s">
        <v>230</v>
      </c>
      <c r="K341" t="s">
        <v>27</v>
      </c>
      <c r="L341" t="s">
        <v>323</v>
      </c>
      <c r="M341" t="s">
        <v>93</v>
      </c>
      <c r="N341" t="s">
        <v>30</v>
      </c>
      <c r="O341" t="s">
        <v>31</v>
      </c>
      <c r="P341" t="s">
        <v>261</v>
      </c>
      <c r="Q341" t="s">
        <v>352</v>
      </c>
      <c r="R341" t="s">
        <v>147</v>
      </c>
      <c r="S341" t="s">
        <v>1219</v>
      </c>
    </row>
    <row r="342" ht="55" customHeight="1" spans="1:19">
      <c r="A342" s="1" t="str">
        <f>_xlfn.DISPIMG("ID_7B8344BA1EC448C8BEC0FD28EAD98492",1)</f>
        <v>=DISPIMG("ID_7B8344BA1EC448C8BEC0FD28EAD98492",1)</v>
      </c>
      <c r="B342" t="s">
        <v>988</v>
      </c>
      <c r="C342" t="s">
        <v>683</v>
      </c>
      <c r="D342" t="s">
        <v>991</v>
      </c>
      <c r="E342" t="s">
        <v>413</v>
      </c>
      <c r="F342" t="s">
        <v>989</v>
      </c>
      <c r="G342" t="s">
        <v>101</v>
      </c>
      <c r="H342" t="s">
        <v>100</v>
      </c>
      <c r="I342" t="s">
        <v>25</v>
      </c>
      <c r="J342" t="s">
        <v>26</v>
      </c>
      <c r="K342" t="s">
        <v>27</v>
      </c>
      <c r="L342" t="s">
        <v>74</v>
      </c>
      <c r="M342" t="s">
        <v>513</v>
      </c>
      <c r="N342" t="s">
        <v>30</v>
      </c>
      <c r="O342" t="s">
        <v>31</v>
      </c>
      <c r="P342" t="s">
        <v>65</v>
      </c>
      <c r="Q342" t="s">
        <v>677</v>
      </c>
      <c r="R342" t="s">
        <v>324</v>
      </c>
      <c r="S342" t="s">
        <v>1220</v>
      </c>
    </row>
    <row r="343" ht="55" customHeight="1" spans="1:19">
      <c r="A343" s="1" t="str">
        <f>_xlfn.DISPIMG("ID_4B4483A34F41472294E5A1DEEBAF192E",1)</f>
        <v>=DISPIMG("ID_4B4483A34F41472294E5A1DEEBAF192E",1)</v>
      </c>
      <c r="B343" t="s">
        <v>1221</v>
      </c>
      <c r="C343" t="s">
        <v>1222</v>
      </c>
      <c r="D343" t="s">
        <v>315</v>
      </c>
      <c r="E343" t="s">
        <v>316</v>
      </c>
      <c r="F343" t="s">
        <v>878</v>
      </c>
      <c r="G343" t="s">
        <v>92</v>
      </c>
      <c r="H343" t="s">
        <v>144</v>
      </c>
      <c r="I343" t="s">
        <v>165</v>
      </c>
      <c r="J343" t="s">
        <v>26</v>
      </c>
      <c r="K343" t="s">
        <v>27</v>
      </c>
      <c r="L343" t="s">
        <v>28</v>
      </c>
      <c r="M343" t="s">
        <v>93</v>
      </c>
      <c r="N343" t="s">
        <v>30</v>
      </c>
      <c r="O343" t="s">
        <v>31</v>
      </c>
      <c r="P343" t="s">
        <v>340</v>
      </c>
      <c r="Q343" t="s">
        <v>76</v>
      </c>
      <c r="R343" t="s">
        <v>318</v>
      </c>
      <c r="S343" t="s">
        <v>1223</v>
      </c>
    </row>
    <row r="344" ht="55" customHeight="1" spans="1:19">
      <c r="A344" s="1" t="str">
        <f>_xlfn.DISPIMG("ID_B7CE26686EED4393A3EBB696DE5D12FB",1)</f>
        <v>=DISPIMG("ID_B7CE26686EED4393A3EBB696DE5D12FB",1)</v>
      </c>
      <c r="B344" t="s">
        <v>257</v>
      </c>
      <c r="C344" t="s">
        <v>720</v>
      </c>
      <c r="D344" t="s">
        <v>664</v>
      </c>
      <c r="E344" t="s">
        <v>1224</v>
      </c>
      <c r="F344" t="s">
        <v>51</v>
      </c>
      <c r="G344" t="s">
        <v>260</v>
      </c>
      <c r="H344" t="s">
        <v>1224</v>
      </c>
      <c r="I344" t="s">
        <v>25</v>
      </c>
      <c r="J344" t="s">
        <v>26</v>
      </c>
      <c r="K344" t="s">
        <v>27</v>
      </c>
      <c r="L344" t="s">
        <v>28</v>
      </c>
      <c r="M344" t="s">
        <v>29</v>
      </c>
      <c r="N344" t="s">
        <v>30</v>
      </c>
      <c r="O344" t="s">
        <v>31</v>
      </c>
      <c r="P344" t="s">
        <v>1225</v>
      </c>
      <c r="Q344" t="s">
        <v>1023</v>
      </c>
      <c r="R344" t="s">
        <v>263</v>
      </c>
      <c r="S344" t="s">
        <v>1226</v>
      </c>
    </row>
    <row r="345" ht="55" customHeight="1" spans="1:19">
      <c r="A345" s="1" t="str">
        <f>_xlfn.DISPIMG("ID_0A4D27AC5A6D4F5DA3D11CB3A17B63CC",1)</f>
        <v>=DISPIMG("ID_0A4D27AC5A6D4F5DA3D11CB3A17B63CC",1)</v>
      </c>
      <c r="B345" t="s">
        <v>1227</v>
      </c>
      <c r="C345" t="s">
        <v>720</v>
      </c>
      <c r="D345" t="s">
        <v>1037</v>
      </c>
      <c r="E345" t="s">
        <v>161</v>
      </c>
      <c r="F345" t="s">
        <v>245</v>
      </c>
      <c r="G345" t="s">
        <v>41</v>
      </c>
      <c r="H345" t="s">
        <v>164</v>
      </c>
      <c r="I345" t="s">
        <v>165</v>
      </c>
      <c r="J345" t="s">
        <v>26</v>
      </c>
      <c r="K345" t="s">
        <v>27</v>
      </c>
      <c r="L345" t="s">
        <v>231</v>
      </c>
      <c r="M345" t="s">
        <v>93</v>
      </c>
      <c r="N345" t="s">
        <v>30</v>
      </c>
      <c r="O345" t="s">
        <v>31</v>
      </c>
      <c r="P345" t="s">
        <v>154</v>
      </c>
      <c r="Q345" t="s">
        <v>167</v>
      </c>
      <c r="R345" t="s">
        <v>1228</v>
      </c>
      <c r="S345" t="s">
        <v>1229</v>
      </c>
    </row>
    <row r="346" ht="55" customHeight="1" spans="1:19">
      <c r="A346" s="1" t="str">
        <f>_xlfn.DISPIMG("ID_B66877CAE0F74D218BAA416495A2CD0B",1)</f>
        <v>=DISPIMG("ID_B66877CAE0F74D218BAA416495A2CD0B",1)</v>
      </c>
      <c r="B346" t="s">
        <v>282</v>
      </c>
      <c r="C346" t="s">
        <v>1036</v>
      </c>
      <c r="D346" t="s">
        <v>38</v>
      </c>
      <c r="E346" t="s">
        <v>39</v>
      </c>
      <c r="F346" t="s">
        <v>40</v>
      </c>
      <c r="G346" t="s">
        <v>306</v>
      </c>
      <c r="H346" t="s">
        <v>39</v>
      </c>
      <c r="I346" t="s">
        <v>42</v>
      </c>
      <c r="J346" t="s">
        <v>26</v>
      </c>
      <c r="K346" t="s">
        <v>27</v>
      </c>
      <c r="L346" t="s">
        <v>28</v>
      </c>
      <c r="M346" t="s">
        <v>29</v>
      </c>
      <c r="N346" t="s">
        <v>30</v>
      </c>
      <c r="O346" t="s">
        <v>31</v>
      </c>
      <c r="P346" t="s">
        <v>1230</v>
      </c>
      <c r="Q346" t="s">
        <v>553</v>
      </c>
      <c r="R346" t="s">
        <v>45</v>
      </c>
      <c r="S346" t="s">
        <v>1231</v>
      </c>
    </row>
    <row r="347" ht="55" customHeight="1" spans="1:19">
      <c r="A347" s="1" t="str">
        <f>_xlfn.DISPIMG("ID_3F1864BEEBF94E07B3AD09F4710BDD1F",1)</f>
        <v>=DISPIMG("ID_3F1864BEEBF94E07B3AD09F4710BDD1F",1)</v>
      </c>
      <c r="B347" t="s">
        <v>1232</v>
      </c>
      <c r="C347" t="s">
        <v>819</v>
      </c>
      <c r="D347" t="s">
        <v>412</v>
      </c>
      <c r="E347" t="s">
        <v>413</v>
      </c>
      <c r="F347" t="s">
        <v>91</v>
      </c>
      <c r="G347" t="s">
        <v>246</v>
      </c>
      <c r="H347" t="s">
        <v>100</v>
      </c>
      <c r="I347" t="s">
        <v>137</v>
      </c>
      <c r="J347" t="s">
        <v>26</v>
      </c>
      <c r="K347" t="s">
        <v>27</v>
      </c>
      <c r="L347" t="s">
        <v>28</v>
      </c>
      <c r="M347" t="s">
        <v>93</v>
      </c>
      <c r="N347" t="s">
        <v>30</v>
      </c>
      <c r="O347" t="s">
        <v>31</v>
      </c>
      <c r="P347" t="s">
        <v>301</v>
      </c>
      <c r="Q347" t="s">
        <v>76</v>
      </c>
      <c r="R347" t="s">
        <v>130</v>
      </c>
      <c r="S347" t="s">
        <v>1233</v>
      </c>
    </row>
    <row r="348" ht="55" customHeight="1" spans="1:19">
      <c r="A348" s="1" t="str">
        <f>_xlfn.DISPIMG("ID_D2416338DC9B49D49E804E7BE91AE51E",1)</f>
        <v>=DISPIMG("ID_D2416338DC9B49D49E804E7BE91AE51E",1)</v>
      </c>
      <c r="B348" t="s">
        <v>58</v>
      </c>
      <c r="C348" t="s">
        <v>1234</v>
      </c>
      <c r="D348" t="s">
        <v>511</v>
      </c>
      <c r="E348" t="s">
        <v>204</v>
      </c>
      <c r="F348" t="s">
        <v>51</v>
      </c>
      <c r="G348" t="s">
        <v>174</v>
      </c>
      <c r="H348" t="s">
        <v>72</v>
      </c>
      <c r="I348" t="s">
        <v>42</v>
      </c>
      <c r="J348" t="s">
        <v>26</v>
      </c>
      <c r="K348" t="s">
        <v>27</v>
      </c>
      <c r="L348" t="s">
        <v>53</v>
      </c>
      <c r="M348" t="s">
        <v>29</v>
      </c>
      <c r="N348" t="s">
        <v>30</v>
      </c>
      <c r="O348" t="s">
        <v>31</v>
      </c>
      <c r="P348" t="s">
        <v>65</v>
      </c>
      <c r="Q348" t="s">
        <v>297</v>
      </c>
      <c r="R348" t="s">
        <v>409</v>
      </c>
      <c r="S348" t="s">
        <v>1235</v>
      </c>
    </row>
    <row r="349" ht="55" customHeight="1" spans="1:19">
      <c r="A349" s="1" t="str">
        <f>_xlfn.DISPIMG("ID_63346FAA3F5A4E4798BF40B7A94C86A1",1)</f>
        <v>=DISPIMG("ID_63346FAA3F5A4E4798BF40B7A94C86A1",1)</v>
      </c>
      <c r="B349" t="s">
        <v>236</v>
      </c>
      <c r="C349" t="s">
        <v>1236</v>
      </c>
      <c r="D349" t="s">
        <v>1170</v>
      </c>
      <c r="E349" t="s">
        <v>573</v>
      </c>
      <c r="F349" t="s">
        <v>51</v>
      </c>
      <c r="G349" t="s">
        <v>431</v>
      </c>
      <c r="H349" t="s">
        <v>573</v>
      </c>
      <c r="I349" t="s">
        <v>42</v>
      </c>
      <c r="J349" t="s">
        <v>26</v>
      </c>
      <c r="K349" t="s">
        <v>27</v>
      </c>
      <c r="L349" t="s">
        <v>74</v>
      </c>
      <c r="M349" t="s">
        <v>29</v>
      </c>
      <c r="N349" t="s">
        <v>64</v>
      </c>
      <c r="O349" t="s">
        <v>31</v>
      </c>
      <c r="P349" t="s">
        <v>285</v>
      </c>
      <c r="Q349" t="s">
        <v>33</v>
      </c>
      <c r="R349" t="s">
        <v>104</v>
      </c>
      <c r="S349" t="s">
        <v>1237</v>
      </c>
    </row>
    <row r="350" ht="55" customHeight="1" spans="1:19">
      <c r="A350" s="1" t="str">
        <f>_xlfn.DISPIMG("ID_A2BB739EC96A4922A1D187597A6BF51D",1)</f>
        <v>=DISPIMG("ID_A2BB739EC96A4922A1D187597A6BF51D",1)</v>
      </c>
      <c r="B350" t="s">
        <v>1238</v>
      </c>
      <c r="C350" t="s">
        <v>1239</v>
      </c>
      <c r="D350" t="s">
        <v>375</v>
      </c>
      <c r="E350" t="s">
        <v>486</v>
      </c>
      <c r="F350" t="s">
        <v>91</v>
      </c>
      <c r="G350" t="s">
        <v>41</v>
      </c>
      <c r="H350" t="s">
        <v>486</v>
      </c>
      <c r="I350" t="s">
        <v>175</v>
      </c>
      <c r="J350" t="s">
        <v>26</v>
      </c>
      <c r="K350" t="s">
        <v>27</v>
      </c>
      <c r="L350" t="s">
        <v>28</v>
      </c>
      <c r="M350" t="s">
        <v>93</v>
      </c>
      <c r="N350" t="s">
        <v>30</v>
      </c>
      <c r="O350" t="s">
        <v>31</v>
      </c>
      <c r="P350" t="s">
        <v>75</v>
      </c>
      <c r="Q350" t="s">
        <v>297</v>
      </c>
      <c r="R350" t="s">
        <v>420</v>
      </c>
      <c r="S350" t="s">
        <v>1240</v>
      </c>
    </row>
    <row r="351" ht="55" customHeight="1" spans="1:19">
      <c r="A351" s="1" t="str">
        <f>_xlfn.DISPIMG("ID_0BC2F243AAC647309E9928DF8FDCECA6",1)</f>
        <v>=DISPIMG("ID_0BC2F243AAC647309E9928DF8FDCECA6",1)</v>
      </c>
      <c r="B351" t="s">
        <v>36</v>
      </c>
      <c r="C351" t="s">
        <v>1043</v>
      </c>
      <c r="D351" t="s">
        <v>368</v>
      </c>
      <c r="E351" t="s">
        <v>135</v>
      </c>
      <c r="F351" t="s">
        <v>40</v>
      </c>
      <c r="G351" t="s">
        <v>1241</v>
      </c>
      <c r="H351" t="s">
        <v>135</v>
      </c>
      <c r="I351" t="s">
        <v>42</v>
      </c>
      <c r="J351" t="s">
        <v>26</v>
      </c>
      <c r="K351" t="s">
        <v>27</v>
      </c>
      <c r="L351" t="s">
        <v>28</v>
      </c>
      <c r="M351" t="s">
        <v>29</v>
      </c>
      <c r="N351" t="s">
        <v>30</v>
      </c>
      <c r="O351" t="s">
        <v>31</v>
      </c>
      <c r="P351" t="s">
        <v>221</v>
      </c>
      <c r="Q351" t="s">
        <v>553</v>
      </c>
      <c r="R351" t="s">
        <v>45</v>
      </c>
      <c r="S351" t="s">
        <v>1242</v>
      </c>
    </row>
    <row r="352" ht="55" customHeight="1" spans="1:19">
      <c r="A352" s="1" t="str">
        <f>_xlfn.DISPIMG("ID_2D72D55888B24607958CE678336680CC",1)</f>
        <v>=DISPIMG("ID_2D72D55888B24607958CE678336680CC",1)</v>
      </c>
      <c r="B352" t="s">
        <v>1150</v>
      </c>
      <c r="C352" t="s">
        <v>1222</v>
      </c>
      <c r="D352" t="s">
        <v>887</v>
      </c>
      <c r="E352" t="s">
        <v>84</v>
      </c>
      <c r="F352" t="s">
        <v>162</v>
      </c>
      <c r="G352" t="s">
        <v>101</v>
      </c>
      <c r="H352" t="s">
        <v>84</v>
      </c>
      <c r="I352" t="s">
        <v>175</v>
      </c>
      <c r="J352" t="s">
        <v>230</v>
      </c>
      <c r="K352" t="s">
        <v>27</v>
      </c>
      <c r="L352" t="s">
        <v>323</v>
      </c>
      <c r="M352" t="s">
        <v>166</v>
      </c>
      <c r="N352" t="s">
        <v>30</v>
      </c>
      <c r="O352" t="s">
        <v>31</v>
      </c>
      <c r="P352" t="s">
        <v>112</v>
      </c>
      <c r="Q352" t="s">
        <v>240</v>
      </c>
      <c r="R352" t="s">
        <v>1077</v>
      </c>
      <c r="S352" t="s">
        <v>1243</v>
      </c>
    </row>
    <row r="353" ht="55" customHeight="1" spans="1:19">
      <c r="A353" s="1" t="str">
        <f>_xlfn.DISPIMG("ID_0CF1E77D7EEB47579A6B6011B4C9C621",1)</f>
        <v>=DISPIMG("ID_0CF1E77D7EEB47579A6B6011B4C9C621",1)</v>
      </c>
      <c r="B353" t="s">
        <v>277</v>
      </c>
      <c r="C353" t="s">
        <v>1025</v>
      </c>
      <c r="D353" t="s">
        <v>99</v>
      </c>
      <c r="E353" t="s">
        <v>100</v>
      </c>
      <c r="F353" t="s">
        <v>91</v>
      </c>
      <c r="G353" t="s">
        <v>73</v>
      </c>
      <c r="H353" t="s">
        <v>1244</v>
      </c>
      <c r="I353" t="s">
        <v>42</v>
      </c>
      <c r="J353" t="s">
        <v>26</v>
      </c>
      <c r="K353" t="s">
        <v>27</v>
      </c>
      <c r="L353" t="s">
        <v>28</v>
      </c>
      <c r="M353" t="s">
        <v>93</v>
      </c>
      <c r="N353" t="s">
        <v>64</v>
      </c>
      <c r="O353" t="s">
        <v>31</v>
      </c>
      <c r="P353" t="s">
        <v>1245</v>
      </c>
      <c r="Q353" t="s">
        <v>539</v>
      </c>
      <c r="R353" t="s">
        <v>130</v>
      </c>
      <c r="S353" t="s">
        <v>1246</v>
      </c>
    </row>
    <row r="354" ht="55" customHeight="1" spans="1:19">
      <c r="A354" s="1" t="str">
        <f>_xlfn.DISPIMG("ID_927BE9F57D164122BF461400D256BACA",1)</f>
        <v>=DISPIMG("ID_927BE9F57D164122BF461400D256BACA",1)</v>
      </c>
      <c r="B354" t="s">
        <v>257</v>
      </c>
      <c r="C354" t="s">
        <v>548</v>
      </c>
      <c r="D354" t="s">
        <v>425</v>
      </c>
      <c r="E354" t="s">
        <v>486</v>
      </c>
      <c r="F354" t="s">
        <v>51</v>
      </c>
      <c r="G354" t="s">
        <v>127</v>
      </c>
      <c r="H354" t="s">
        <v>518</v>
      </c>
      <c r="I354" t="s">
        <v>25</v>
      </c>
      <c r="J354" t="s">
        <v>26</v>
      </c>
      <c r="K354" t="s">
        <v>27</v>
      </c>
      <c r="L354" t="s">
        <v>74</v>
      </c>
      <c r="M354" t="s">
        <v>29</v>
      </c>
      <c r="N354" t="s">
        <v>661</v>
      </c>
      <c r="O354" t="s">
        <v>31</v>
      </c>
      <c r="P354" t="s">
        <v>247</v>
      </c>
      <c r="Q354" t="s">
        <v>113</v>
      </c>
      <c r="R354" t="s">
        <v>147</v>
      </c>
      <c r="S354" t="s">
        <v>1247</v>
      </c>
    </row>
    <row r="355" ht="55" customHeight="1" spans="1:19">
      <c r="A355" s="1" t="str">
        <f>_xlfn.DISPIMG("ID_8BC6185416BA43CAA394D6EEBC71B96A",1)</f>
        <v>=DISPIMG("ID_8BC6185416BA43CAA394D6EEBC71B96A",1)</v>
      </c>
      <c r="B355" t="s">
        <v>675</v>
      </c>
      <c r="C355" t="s">
        <v>159</v>
      </c>
      <c r="D355" t="s">
        <v>785</v>
      </c>
      <c r="E355" t="s">
        <v>445</v>
      </c>
      <c r="F355" t="s">
        <v>173</v>
      </c>
      <c r="G355" t="s">
        <v>174</v>
      </c>
      <c r="H355" t="s">
        <v>445</v>
      </c>
      <c r="I355" t="s">
        <v>137</v>
      </c>
      <c r="J355" t="s">
        <v>26</v>
      </c>
      <c r="K355" t="s">
        <v>27</v>
      </c>
      <c r="L355" t="s">
        <v>28</v>
      </c>
      <c r="M355" t="s">
        <v>93</v>
      </c>
      <c r="N355" t="s">
        <v>30</v>
      </c>
      <c r="O355" t="s">
        <v>31</v>
      </c>
      <c r="P355" t="s">
        <v>43</v>
      </c>
      <c r="Q355" t="s">
        <v>76</v>
      </c>
      <c r="R355" t="s">
        <v>618</v>
      </c>
      <c r="S355" t="s">
        <v>1248</v>
      </c>
    </row>
    <row r="356" ht="55" customHeight="1" spans="1:19">
      <c r="A356" s="1" t="str">
        <f>_xlfn.DISPIMG("ID_29095E977A7F40139FFB594F2CAE434C",1)</f>
        <v>=DISPIMG("ID_29095E977A7F40139FFB594F2CAE434C",1)</v>
      </c>
      <c r="B356" t="s">
        <v>158</v>
      </c>
      <c r="C356" t="s">
        <v>159</v>
      </c>
      <c r="D356" t="s">
        <v>511</v>
      </c>
      <c r="E356" t="s">
        <v>204</v>
      </c>
      <c r="F356" t="s">
        <v>162</v>
      </c>
      <c r="G356" t="s">
        <v>127</v>
      </c>
      <c r="H356" t="s">
        <v>72</v>
      </c>
      <c r="I356" t="s">
        <v>165</v>
      </c>
      <c r="J356" t="s">
        <v>26</v>
      </c>
      <c r="K356" t="s">
        <v>27</v>
      </c>
      <c r="L356" t="s">
        <v>28</v>
      </c>
      <c r="M356" t="s">
        <v>166</v>
      </c>
      <c r="N356" t="s">
        <v>30</v>
      </c>
      <c r="O356" t="s">
        <v>31</v>
      </c>
      <c r="P356" t="s">
        <v>301</v>
      </c>
      <c r="Q356" t="s">
        <v>167</v>
      </c>
      <c r="R356" t="s">
        <v>168</v>
      </c>
      <c r="S356" t="s">
        <v>1249</v>
      </c>
    </row>
    <row r="357" ht="55" customHeight="1" spans="1:19">
      <c r="A357" s="1" t="str">
        <f>_xlfn.DISPIMG("ID_722876A95B13463FB7D8AD97648CFAE9",1)</f>
        <v>=DISPIMG("ID_722876A95B13463FB7D8AD97648CFAE9",1)</v>
      </c>
      <c r="B357" t="s">
        <v>1221</v>
      </c>
      <c r="C357" t="s">
        <v>1250</v>
      </c>
      <c r="D357" t="s">
        <v>90</v>
      </c>
      <c r="E357" t="s">
        <v>731</v>
      </c>
      <c r="F357" t="s">
        <v>878</v>
      </c>
      <c r="G357" t="s">
        <v>495</v>
      </c>
      <c r="H357" t="s">
        <v>731</v>
      </c>
      <c r="I357" t="s">
        <v>165</v>
      </c>
      <c r="J357" t="s">
        <v>26</v>
      </c>
      <c r="K357" t="s">
        <v>27</v>
      </c>
      <c r="L357" t="s">
        <v>28</v>
      </c>
      <c r="M357" t="s">
        <v>93</v>
      </c>
      <c r="N357" t="s">
        <v>30</v>
      </c>
      <c r="O357" t="s">
        <v>31</v>
      </c>
      <c r="P357" t="s">
        <v>112</v>
      </c>
      <c r="Q357" t="s">
        <v>1251</v>
      </c>
      <c r="R357" t="s">
        <v>318</v>
      </c>
      <c r="S357" t="s">
        <v>1252</v>
      </c>
    </row>
    <row r="358" ht="55" customHeight="1" spans="1:19">
      <c r="A358" s="1" t="str">
        <f>_xlfn.DISPIMG("ID_B028E09745094B90AEB77336D4EC52A5",1)</f>
        <v>=DISPIMG("ID_B028E09745094B90AEB77336D4EC52A5",1)</v>
      </c>
      <c r="B358" t="s">
        <v>1155</v>
      </c>
      <c r="C358" t="s">
        <v>215</v>
      </c>
      <c r="D358" t="s">
        <v>315</v>
      </c>
      <c r="E358" t="s">
        <v>316</v>
      </c>
      <c r="F358" t="s">
        <v>173</v>
      </c>
      <c r="G358" t="s">
        <v>174</v>
      </c>
      <c r="H358" t="s">
        <v>144</v>
      </c>
      <c r="I358" t="s">
        <v>175</v>
      </c>
      <c r="J358" t="s">
        <v>26</v>
      </c>
      <c r="K358" t="s">
        <v>27</v>
      </c>
      <c r="L358" t="s">
        <v>28</v>
      </c>
      <c r="M358" t="s">
        <v>93</v>
      </c>
      <c r="N358" t="s">
        <v>30</v>
      </c>
      <c r="O358" t="s">
        <v>31</v>
      </c>
      <c r="P358" t="s">
        <v>182</v>
      </c>
      <c r="Q358" t="s">
        <v>1023</v>
      </c>
      <c r="R358" t="s">
        <v>820</v>
      </c>
      <c r="S358" t="s">
        <v>1253</v>
      </c>
    </row>
    <row r="359" ht="55" customHeight="1" spans="1:19">
      <c r="A359" s="1" t="str">
        <f>_xlfn.DISPIMG("ID_C0CFFC9CC3B64C6CA014D2062AAC3554",1)</f>
        <v>=DISPIMG("ID_C0CFFC9CC3B64C6CA014D2062AAC3554",1)</v>
      </c>
      <c r="B359" t="s">
        <v>158</v>
      </c>
      <c r="C359" t="s">
        <v>314</v>
      </c>
      <c r="D359" t="s">
        <v>379</v>
      </c>
      <c r="E359" t="s">
        <v>119</v>
      </c>
      <c r="F359" t="s">
        <v>162</v>
      </c>
      <c r="G359" t="s">
        <v>41</v>
      </c>
      <c r="H359" t="s">
        <v>119</v>
      </c>
      <c r="I359" t="s">
        <v>165</v>
      </c>
      <c r="J359" t="s">
        <v>26</v>
      </c>
      <c r="K359" t="s">
        <v>27</v>
      </c>
      <c r="L359" t="s">
        <v>231</v>
      </c>
      <c r="M359" t="s">
        <v>166</v>
      </c>
      <c r="N359" t="s">
        <v>30</v>
      </c>
      <c r="O359" t="s">
        <v>31</v>
      </c>
      <c r="P359" t="s">
        <v>182</v>
      </c>
      <c r="Q359" t="s">
        <v>76</v>
      </c>
      <c r="R359" t="s">
        <v>168</v>
      </c>
      <c r="S359" t="s">
        <v>1254</v>
      </c>
    </row>
    <row r="360" ht="55" customHeight="1" spans="1:19">
      <c r="A360" s="1" t="str">
        <f>_xlfn.DISPIMG("ID_E3F22DE6A986430E8E9EE817825D0DF8",1)</f>
        <v>=DISPIMG("ID_E3F22DE6A986430E8E9EE817825D0DF8",1)</v>
      </c>
      <c r="B360" t="s">
        <v>935</v>
      </c>
      <c r="C360" t="s">
        <v>1255</v>
      </c>
      <c r="D360" t="s">
        <v>244</v>
      </c>
      <c r="E360" t="s">
        <v>164</v>
      </c>
      <c r="F360" t="s">
        <v>245</v>
      </c>
      <c r="G360" t="s">
        <v>747</v>
      </c>
      <c r="H360" t="s">
        <v>164</v>
      </c>
      <c r="I360" t="s">
        <v>165</v>
      </c>
      <c r="J360" t="s">
        <v>26</v>
      </c>
      <c r="K360" t="s">
        <v>27</v>
      </c>
      <c r="L360" t="s">
        <v>557</v>
      </c>
      <c r="M360" t="s">
        <v>93</v>
      </c>
      <c r="N360" t="s">
        <v>64</v>
      </c>
      <c r="O360" t="s">
        <v>31</v>
      </c>
      <c r="P360" t="s">
        <v>491</v>
      </c>
      <c r="Q360" t="s">
        <v>297</v>
      </c>
      <c r="R360" t="s">
        <v>249</v>
      </c>
      <c r="S360" t="s">
        <v>1256</v>
      </c>
    </row>
    <row r="361" ht="55" customHeight="1" spans="1:19">
      <c r="A361" s="1" t="str">
        <f>_xlfn.DISPIMG("ID_4E7CFC3B9E2645FA8E896C0F885138E5",1)</f>
        <v>=DISPIMG("ID_4E7CFC3B9E2645FA8E896C0F885138E5",1)</v>
      </c>
      <c r="B361" t="s">
        <v>257</v>
      </c>
      <c r="C361" t="s">
        <v>1255</v>
      </c>
      <c r="D361" t="s">
        <v>400</v>
      </c>
      <c r="E361" t="s">
        <v>211</v>
      </c>
      <c r="F361" t="s">
        <v>51</v>
      </c>
      <c r="G361" t="s">
        <v>174</v>
      </c>
      <c r="H361" t="s">
        <v>211</v>
      </c>
      <c r="I361" t="s">
        <v>25</v>
      </c>
      <c r="J361" t="s">
        <v>26</v>
      </c>
      <c r="K361" t="s">
        <v>27</v>
      </c>
      <c r="L361" t="s">
        <v>28</v>
      </c>
      <c r="M361" t="s">
        <v>29</v>
      </c>
      <c r="N361" t="s">
        <v>30</v>
      </c>
      <c r="O361" t="s">
        <v>31</v>
      </c>
      <c r="P361" t="s">
        <v>221</v>
      </c>
      <c r="Q361" t="s">
        <v>468</v>
      </c>
      <c r="R361" t="s">
        <v>263</v>
      </c>
      <c r="S361" t="s">
        <v>1257</v>
      </c>
    </row>
    <row r="362" ht="55" customHeight="1" spans="1:19">
      <c r="A362" s="1" t="str">
        <f>_xlfn.DISPIMG("ID_6C0AF9708E8C42828C2D8CE2D36DC966",1)</f>
        <v>=DISPIMG("ID_6C0AF9708E8C42828C2D8CE2D36DC966",1)</v>
      </c>
      <c r="B362" t="s">
        <v>257</v>
      </c>
      <c r="C362" t="s">
        <v>126</v>
      </c>
      <c r="D362" t="s">
        <v>454</v>
      </c>
      <c r="E362" t="s">
        <v>135</v>
      </c>
      <c r="F362" t="s">
        <v>51</v>
      </c>
      <c r="G362" t="s">
        <v>127</v>
      </c>
      <c r="H362" t="s">
        <v>135</v>
      </c>
      <c r="I362" t="s">
        <v>25</v>
      </c>
      <c r="J362" t="s">
        <v>26</v>
      </c>
      <c r="K362" t="s">
        <v>27</v>
      </c>
      <c r="L362" t="s">
        <v>74</v>
      </c>
      <c r="M362" t="s">
        <v>29</v>
      </c>
      <c r="N362" t="s">
        <v>64</v>
      </c>
      <c r="O362" t="s">
        <v>31</v>
      </c>
      <c r="P362" t="s">
        <v>65</v>
      </c>
      <c r="Q362" t="s">
        <v>574</v>
      </c>
      <c r="R362" t="s">
        <v>263</v>
      </c>
      <c r="S362" t="s">
        <v>1258</v>
      </c>
    </row>
    <row r="363" ht="55" customHeight="1" spans="1:19">
      <c r="A363" s="1" t="str">
        <f>_xlfn.DISPIMG("ID_586B6E66C1A6443680A356D6E78ABA09",1)</f>
        <v>=DISPIMG("ID_586B6E66C1A6443680A356D6E78ABA09",1)</v>
      </c>
      <c r="B363" t="s">
        <v>1259</v>
      </c>
      <c r="C363" t="s">
        <v>913</v>
      </c>
      <c r="D363" t="s">
        <v>327</v>
      </c>
      <c r="E363" t="s">
        <v>328</v>
      </c>
      <c r="F363" t="s">
        <v>91</v>
      </c>
      <c r="G363" t="s">
        <v>101</v>
      </c>
      <c r="H363" t="s">
        <v>119</v>
      </c>
      <c r="I363" t="s">
        <v>175</v>
      </c>
      <c r="J363" t="s">
        <v>26</v>
      </c>
      <c r="K363" t="s">
        <v>27</v>
      </c>
      <c r="L363" t="s">
        <v>28</v>
      </c>
      <c r="M363" t="s">
        <v>93</v>
      </c>
      <c r="N363" t="s">
        <v>30</v>
      </c>
      <c r="O363" t="s">
        <v>31</v>
      </c>
      <c r="P363" t="s">
        <v>54</v>
      </c>
      <c r="Q363" t="s">
        <v>76</v>
      </c>
      <c r="R363" t="s">
        <v>1260</v>
      </c>
      <c r="S363" t="s">
        <v>1261</v>
      </c>
    </row>
    <row r="364" ht="55" customHeight="1" spans="1:19">
      <c r="A364" s="1" t="str">
        <f>_xlfn.DISPIMG("ID_4E410772E9DE4E62947C0C124E975932",1)</f>
        <v>=DISPIMG("ID_4E410772E9DE4E62947C0C124E975932",1)</v>
      </c>
      <c r="B364" t="s">
        <v>106</v>
      </c>
      <c r="C364" t="s">
        <v>1262</v>
      </c>
      <c r="D364" t="s">
        <v>304</v>
      </c>
      <c r="E364" t="s">
        <v>305</v>
      </c>
      <c r="F364" t="s">
        <v>40</v>
      </c>
      <c r="G364" t="s">
        <v>306</v>
      </c>
      <c r="H364" t="s">
        <v>50</v>
      </c>
      <c r="I364" t="s">
        <v>42</v>
      </c>
      <c r="J364" t="s">
        <v>26</v>
      </c>
      <c r="K364" t="s">
        <v>27</v>
      </c>
      <c r="L364" t="s">
        <v>53</v>
      </c>
      <c r="M364" t="s">
        <v>29</v>
      </c>
      <c r="N364" t="s">
        <v>30</v>
      </c>
      <c r="O364" t="s">
        <v>31</v>
      </c>
      <c r="P364" t="s">
        <v>221</v>
      </c>
      <c r="Q364" t="s">
        <v>113</v>
      </c>
      <c r="R364" t="s">
        <v>114</v>
      </c>
      <c r="S364" t="s">
        <v>1263</v>
      </c>
    </row>
    <row r="365" ht="55" customHeight="1" spans="1:19">
      <c r="A365" s="1" t="str">
        <f>_xlfn.DISPIMG("ID_68A88B0087D04E79BCB39E062D6E3518",1)</f>
        <v>=DISPIMG("ID_68A88B0087D04E79BCB39E062D6E3518",1)</v>
      </c>
      <c r="B365" t="s">
        <v>242</v>
      </c>
      <c r="C365" t="s">
        <v>1264</v>
      </c>
      <c r="D365" t="s">
        <v>349</v>
      </c>
      <c r="E365" t="s">
        <v>461</v>
      </c>
      <c r="F365" t="s">
        <v>245</v>
      </c>
      <c r="G365" t="s">
        <v>383</v>
      </c>
      <c r="H365" t="s">
        <v>461</v>
      </c>
      <c r="I365" t="s">
        <v>165</v>
      </c>
      <c r="J365" t="s">
        <v>26</v>
      </c>
      <c r="K365" t="s">
        <v>27</v>
      </c>
      <c r="L365" t="s">
        <v>323</v>
      </c>
      <c r="M365" t="s">
        <v>93</v>
      </c>
      <c r="N365" t="s">
        <v>30</v>
      </c>
      <c r="O365" t="s">
        <v>31</v>
      </c>
      <c r="P365" t="s">
        <v>138</v>
      </c>
      <c r="Q365" t="s">
        <v>55</v>
      </c>
      <c r="R365" t="s">
        <v>249</v>
      </c>
      <c r="S365" t="s">
        <v>1265</v>
      </c>
    </row>
    <row r="366" ht="55" customHeight="1" spans="1:19">
      <c r="A366" s="1" t="str">
        <f>_xlfn.DISPIMG("ID_6D0BFDD4124347CA98556DF9B4B7F488",1)</f>
        <v>=DISPIMG("ID_6D0BFDD4124347CA98556DF9B4B7F488",1)</v>
      </c>
      <c r="B366" t="s">
        <v>257</v>
      </c>
      <c r="C366" t="s">
        <v>258</v>
      </c>
      <c r="D366" t="s">
        <v>267</v>
      </c>
      <c r="E366" t="s">
        <v>109</v>
      </c>
      <c r="F366" t="s">
        <v>51</v>
      </c>
      <c r="G366" t="s">
        <v>1266</v>
      </c>
      <c r="H366" t="s">
        <v>111</v>
      </c>
      <c r="I366" t="s">
        <v>25</v>
      </c>
      <c r="J366" t="s">
        <v>26</v>
      </c>
      <c r="K366" t="s">
        <v>27</v>
      </c>
      <c r="L366" t="s">
        <v>74</v>
      </c>
      <c r="M366" t="s">
        <v>29</v>
      </c>
      <c r="N366" t="s">
        <v>30</v>
      </c>
      <c r="O366" t="s">
        <v>31</v>
      </c>
      <c r="P366" t="s">
        <v>301</v>
      </c>
      <c r="Q366" t="s">
        <v>76</v>
      </c>
      <c r="R366" t="s">
        <v>1267</v>
      </c>
      <c r="S366" t="s">
        <v>1268</v>
      </c>
    </row>
    <row r="367" ht="55" customHeight="1" spans="1:19">
      <c r="A367" s="1" t="str">
        <f>_xlfn.DISPIMG("ID_1BCC423F91564DB4B411DE821EAC9FCC",1)</f>
        <v>=DISPIMG("ID_1BCC423F91564DB4B411DE821EAC9FCC",1)</v>
      </c>
      <c r="B367" t="s">
        <v>158</v>
      </c>
      <c r="C367" t="s">
        <v>187</v>
      </c>
      <c r="D367" t="s">
        <v>315</v>
      </c>
      <c r="E367" t="s">
        <v>316</v>
      </c>
      <c r="F367" t="s">
        <v>162</v>
      </c>
      <c r="G367" t="s">
        <v>670</v>
      </c>
      <c r="H367" t="s">
        <v>144</v>
      </c>
      <c r="I367" t="s">
        <v>165</v>
      </c>
      <c r="J367" t="s">
        <v>26</v>
      </c>
      <c r="K367" t="s">
        <v>27</v>
      </c>
      <c r="L367" t="s">
        <v>28</v>
      </c>
      <c r="M367" t="s">
        <v>166</v>
      </c>
      <c r="N367" t="s">
        <v>30</v>
      </c>
      <c r="O367" t="s">
        <v>31</v>
      </c>
      <c r="P367" t="s">
        <v>54</v>
      </c>
      <c r="Q367" t="s">
        <v>76</v>
      </c>
      <c r="R367" t="s">
        <v>168</v>
      </c>
      <c r="S367" t="s">
        <v>1269</v>
      </c>
    </row>
    <row r="368" ht="55" customHeight="1" spans="1:19">
      <c r="A368" s="1" t="str">
        <f>_xlfn.DISPIMG("ID_0EBBB4D2C8574D2EA02805E0331A76C9",1)</f>
        <v>=DISPIMG("ID_0EBBB4D2C8574D2EA02805E0331A76C9",1)</v>
      </c>
      <c r="B368" t="s">
        <v>429</v>
      </c>
      <c r="C368" t="s">
        <v>430</v>
      </c>
      <c r="D368" t="s">
        <v>379</v>
      </c>
      <c r="E368" t="s">
        <v>119</v>
      </c>
      <c r="F368" t="s">
        <v>91</v>
      </c>
      <c r="G368" t="s">
        <v>431</v>
      </c>
      <c r="H368" t="s">
        <v>119</v>
      </c>
      <c r="I368" t="s">
        <v>25</v>
      </c>
      <c r="J368" t="s">
        <v>26</v>
      </c>
      <c r="K368" t="s">
        <v>27</v>
      </c>
      <c r="L368" t="s">
        <v>28</v>
      </c>
      <c r="M368" t="s">
        <v>93</v>
      </c>
      <c r="N368" t="s">
        <v>30</v>
      </c>
      <c r="O368" t="s">
        <v>31</v>
      </c>
      <c r="P368" t="s">
        <v>146</v>
      </c>
      <c r="Q368" t="s">
        <v>66</v>
      </c>
      <c r="R368" t="s">
        <v>432</v>
      </c>
      <c r="S368" t="s">
        <v>1270</v>
      </c>
    </row>
    <row r="369" ht="55" customHeight="1" spans="1:19">
      <c r="A369" s="1" t="str">
        <f>_xlfn.DISPIMG("ID_56F8932EB2CD4B70BC59EEC2ECD44514",1)</f>
        <v>=DISPIMG("ID_56F8932EB2CD4B70BC59EEC2ECD44514",1)</v>
      </c>
      <c r="B369" t="s">
        <v>158</v>
      </c>
      <c r="C369" t="s">
        <v>1217</v>
      </c>
      <c r="D369" t="s">
        <v>506</v>
      </c>
      <c r="E369" t="s">
        <v>507</v>
      </c>
      <c r="F369" t="s">
        <v>162</v>
      </c>
      <c r="G369" t="s">
        <v>1271</v>
      </c>
      <c r="H369" t="s">
        <v>135</v>
      </c>
      <c r="I369" t="s">
        <v>165</v>
      </c>
      <c r="J369" t="s">
        <v>26</v>
      </c>
      <c r="K369" t="s">
        <v>27</v>
      </c>
      <c r="L369" t="s">
        <v>28</v>
      </c>
      <c r="M369" t="s">
        <v>166</v>
      </c>
      <c r="N369" t="s">
        <v>30</v>
      </c>
      <c r="O369" t="s">
        <v>31</v>
      </c>
      <c r="P369" t="s">
        <v>75</v>
      </c>
      <c r="Q369" t="s">
        <v>76</v>
      </c>
      <c r="R369" t="s">
        <v>168</v>
      </c>
      <c r="S369" t="s">
        <v>1272</v>
      </c>
    </row>
    <row r="370" ht="55" customHeight="1" spans="1:19">
      <c r="A370" s="1" t="str">
        <f>_xlfn.DISPIMG("ID_64930B26B2B94A82B1FE3943DFC72072",1)</f>
        <v>=DISPIMG("ID_64930B26B2B94A82B1FE3943DFC72072",1)</v>
      </c>
      <c r="B370" t="s">
        <v>149</v>
      </c>
      <c r="C370" t="s">
        <v>258</v>
      </c>
      <c r="D370" t="s">
        <v>991</v>
      </c>
      <c r="E370" t="s">
        <v>413</v>
      </c>
      <c r="F370" t="s">
        <v>51</v>
      </c>
      <c r="G370" t="s">
        <v>174</v>
      </c>
      <c r="H370" t="s">
        <v>100</v>
      </c>
      <c r="I370" t="s">
        <v>25</v>
      </c>
      <c r="J370" t="s">
        <v>26</v>
      </c>
      <c r="K370" t="s">
        <v>27</v>
      </c>
      <c r="L370" t="s">
        <v>74</v>
      </c>
      <c r="M370" t="s">
        <v>29</v>
      </c>
      <c r="N370" t="s">
        <v>30</v>
      </c>
      <c r="O370" t="s">
        <v>153</v>
      </c>
      <c r="P370" t="s">
        <v>128</v>
      </c>
      <c r="Q370" t="s">
        <v>76</v>
      </c>
      <c r="R370" t="s">
        <v>156</v>
      </c>
      <c r="S370" t="s">
        <v>1273</v>
      </c>
    </row>
    <row r="371" ht="55" customHeight="1" spans="1:19">
      <c r="A371" s="1" t="str">
        <f>_xlfn.DISPIMG("ID_56827CFD4D4F441A88F2351C259E7B7F",1)</f>
        <v>=DISPIMG("ID_56827CFD4D4F441A88F2351C259E7B7F",1)</v>
      </c>
      <c r="B371" t="s">
        <v>429</v>
      </c>
      <c r="C371" t="s">
        <v>266</v>
      </c>
      <c r="D371" t="s">
        <v>60</v>
      </c>
      <c r="E371" t="s">
        <v>61</v>
      </c>
      <c r="F371" t="s">
        <v>91</v>
      </c>
      <c r="G371" t="s">
        <v>894</v>
      </c>
      <c r="H371" t="s">
        <v>63</v>
      </c>
      <c r="I371" t="s">
        <v>25</v>
      </c>
      <c r="J371" t="s">
        <v>26</v>
      </c>
      <c r="K371" t="s">
        <v>27</v>
      </c>
      <c r="L371" t="s">
        <v>28</v>
      </c>
      <c r="M371" t="s">
        <v>93</v>
      </c>
      <c r="N371" t="s">
        <v>64</v>
      </c>
      <c r="O371" t="s">
        <v>31</v>
      </c>
      <c r="P371" t="s">
        <v>351</v>
      </c>
      <c r="Q371" t="s">
        <v>113</v>
      </c>
      <c r="R371" t="s">
        <v>432</v>
      </c>
      <c r="S371" t="s">
        <v>1274</v>
      </c>
    </row>
    <row r="372" ht="55" customHeight="1" spans="1:19">
      <c r="A372" s="1" t="str">
        <f>_xlfn.DISPIMG("ID_9EBEAE04293340C58872663A95009CE7",1)</f>
        <v>=DISPIMG("ID_9EBEAE04293340C58872663A95009CE7",1)</v>
      </c>
      <c r="B372" t="s">
        <v>236</v>
      </c>
      <c r="C372" t="s">
        <v>1275</v>
      </c>
      <c r="D372" t="s">
        <v>60</v>
      </c>
      <c r="E372" t="s">
        <v>61</v>
      </c>
      <c r="F372" t="s">
        <v>51</v>
      </c>
      <c r="G372" t="s">
        <v>363</v>
      </c>
      <c r="H372" t="s">
        <v>63</v>
      </c>
      <c r="I372" t="s">
        <v>42</v>
      </c>
      <c r="J372" t="s">
        <v>26</v>
      </c>
      <c r="K372" t="s">
        <v>27</v>
      </c>
      <c r="L372" t="s">
        <v>53</v>
      </c>
      <c r="M372" t="s">
        <v>29</v>
      </c>
      <c r="N372" t="s">
        <v>30</v>
      </c>
      <c r="O372" t="s">
        <v>31</v>
      </c>
      <c r="P372" t="s">
        <v>54</v>
      </c>
      <c r="Q372" t="s">
        <v>275</v>
      </c>
      <c r="R372" t="s">
        <v>104</v>
      </c>
      <c r="S372" t="s">
        <v>1276</v>
      </c>
    </row>
    <row r="373" ht="55" customHeight="1" spans="1:19">
      <c r="A373" s="1" t="str">
        <f>_xlfn.DISPIMG("ID_DBBBF1C6827E49529DBFEF39C29C0CB1",1)</f>
        <v>=DISPIMG("ID_DBBBF1C6827E49529DBFEF39C29C0CB1",1)</v>
      </c>
      <c r="B373" t="s">
        <v>201</v>
      </c>
      <c r="C373" t="s">
        <v>804</v>
      </c>
      <c r="D373" t="s">
        <v>483</v>
      </c>
      <c r="E373" t="s">
        <v>484</v>
      </c>
      <c r="F373" t="s">
        <v>40</v>
      </c>
      <c r="G373" t="s">
        <v>538</v>
      </c>
      <c r="H373" t="s">
        <v>392</v>
      </c>
      <c r="I373" t="s">
        <v>42</v>
      </c>
      <c r="J373" t="s">
        <v>26</v>
      </c>
      <c r="K373" t="s">
        <v>27</v>
      </c>
      <c r="L373" t="s">
        <v>74</v>
      </c>
      <c r="M373" t="s">
        <v>29</v>
      </c>
      <c r="N373" t="s">
        <v>30</v>
      </c>
      <c r="O373" t="s">
        <v>31</v>
      </c>
      <c r="P373" t="s">
        <v>65</v>
      </c>
      <c r="Q373" t="s">
        <v>359</v>
      </c>
      <c r="R373" t="s">
        <v>1277</v>
      </c>
      <c r="S373" t="s">
        <v>1278</v>
      </c>
    </row>
    <row r="374" ht="55" customHeight="1" spans="1:19">
      <c r="A374" s="1" t="str">
        <f>_xlfn.DISPIMG("ID_088458286E7647E1A46CF04189D89CCF",1)</f>
        <v>=DISPIMG("ID_088458286E7647E1A46CF04189D89CCF",1)</v>
      </c>
      <c r="B374" t="s">
        <v>58</v>
      </c>
      <c r="C374" t="s">
        <v>237</v>
      </c>
      <c r="D374" t="s">
        <v>400</v>
      </c>
      <c r="E374" t="s">
        <v>1095</v>
      </c>
      <c r="F374" t="s">
        <v>51</v>
      </c>
      <c r="G374" t="s">
        <v>181</v>
      </c>
      <c r="H374" t="s">
        <v>1095</v>
      </c>
      <c r="I374" t="s">
        <v>42</v>
      </c>
      <c r="J374" t="s">
        <v>26</v>
      </c>
      <c r="K374" t="s">
        <v>27</v>
      </c>
      <c r="L374" t="s">
        <v>53</v>
      </c>
      <c r="M374" t="s">
        <v>29</v>
      </c>
      <c r="N374" t="s">
        <v>64</v>
      </c>
      <c r="O374" t="s">
        <v>31</v>
      </c>
      <c r="P374" t="s">
        <v>473</v>
      </c>
      <c r="Q374" t="s">
        <v>807</v>
      </c>
      <c r="R374" t="s">
        <v>147</v>
      </c>
      <c r="S374" t="s">
        <v>1279</v>
      </c>
    </row>
    <row r="375" ht="55" customHeight="1" spans="1:19">
      <c r="A375" s="1" t="str">
        <f>_xlfn.DISPIMG("ID_9A161D15B2084506A694047D75B1ABA5",1)</f>
        <v>=DISPIMG("ID_9A161D15B2084506A694047D75B1ABA5",1)</v>
      </c>
      <c r="B375" t="s">
        <v>141</v>
      </c>
      <c r="C375" t="s">
        <v>845</v>
      </c>
      <c r="D375" t="s">
        <v>38</v>
      </c>
      <c r="E375" t="s">
        <v>39</v>
      </c>
      <c r="F375" t="s">
        <v>40</v>
      </c>
      <c r="G375" t="s">
        <v>312</v>
      </c>
      <c r="H375" t="s">
        <v>39</v>
      </c>
      <c r="I375" t="s">
        <v>42</v>
      </c>
      <c r="J375" t="s">
        <v>26</v>
      </c>
      <c r="K375" t="s">
        <v>27</v>
      </c>
      <c r="L375" t="s">
        <v>28</v>
      </c>
      <c r="M375" t="s">
        <v>29</v>
      </c>
      <c r="N375" t="s">
        <v>30</v>
      </c>
      <c r="O375" t="s">
        <v>31</v>
      </c>
      <c r="P375" t="s">
        <v>530</v>
      </c>
      <c r="Q375" t="s">
        <v>167</v>
      </c>
      <c r="R375" t="s">
        <v>147</v>
      </c>
      <c r="S375" t="s">
        <v>1280</v>
      </c>
    </row>
    <row r="376" ht="55" customHeight="1" spans="1:19">
      <c r="A376" s="1" t="str">
        <f>_xlfn.DISPIMG("ID_E954D739A184484B83569D64FF8EC9C7",1)</f>
        <v>=DISPIMG("ID_E954D739A184484B83569D64FF8EC9C7",1)</v>
      </c>
      <c r="B376" t="s">
        <v>158</v>
      </c>
      <c r="C376" t="s">
        <v>1222</v>
      </c>
      <c r="D376" t="s">
        <v>315</v>
      </c>
      <c r="E376" t="s">
        <v>316</v>
      </c>
      <c r="F376" t="s">
        <v>162</v>
      </c>
      <c r="G376" t="s">
        <v>312</v>
      </c>
      <c r="H376" t="s">
        <v>144</v>
      </c>
      <c r="I376" t="s">
        <v>165</v>
      </c>
      <c r="J376" t="s">
        <v>26</v>
      </c>
      <c r="K376" t="s">
        <v>27</v>
      </c>
      <c r="L376" t="s">
        <v>28</v>
      </c>
      <c r="M376" t="s">
        <v>166</v>
      </c>
      <c r="N376" t="s">
        <v>30</v>
      </c>
      <c r="O376" t="s">
        <v>31</v>
      </c>
      <c r="P376" t="s">
        <v>112</v>
      </c>
      <c r="Q376" t="s">
        <v>359</v>
      </c>
      <c r="R376" t="s">
        <v>168</v>
      </c>
      <c r="S376" t="s">
        <v>1281</v>
      </c>
    </row>
    <row r="377" ht="55" customHeight="1" spans="1:19">
      <c r="A377" s="1" t="str">
        <f>_xlfn.DISPIMG("ID_5BD355B41DA54494A95555D48D31429E",1)</f>
        <v>=DISPIMG("ID_5BD355B41DA54494A95555D48D31429E",1)</v>
      </c>
      <c r="B377" t="s">
        <v>282</v>
      </c>
      <c r="C377" t="s">
        <v>1282</v>
      </c>
      <c r="D377" t="s">
        <v>349</v>
      </c>
      <c r="E377" t="s">
        <v>84</v>
      </c>
      <c r="F377" t="s">
        <v>40</v>
      </c>
      <c r="G377" t="s">
        <v>306</v>
      </c>
      <c r="H377" t="s">
        <v>84</v>
      </c>
      <c r="I377" t="s">
        <v>42</v>
      </c>
      <c r="J377" t="s">
        <v>26</v>
      </c>
      <c r="K377" t="s">
        <v>27</v>
      </c>
      <c r="L377" t="s">
        <v>28</v>
      </c>
      <c r="M377" t="s">
        <v>29</v>
      </c>
      <c r="N377" t="s">
        <v>30</v>
      </c>
      <c r="O377" t="s">
        <v>31</v>
      </c>
      <c r="P377" t="s">
        <v>285</v>
      </c>
      <c r="Q377" t="s">
        <v>849</v>
      </c>
      <c r="R377" t="s">
        <v>45</v>
      </c>
      <c r="S377" t="s">
        <v>1283</v>
      </c>
    </row>
    <row r="378" ht="55" customHeight="1" spans="1:19">
      <c r="A378" s="1" t="str">
        <f>_xlfn.DISPIMG("ID_0BE3406C13BF4D83ABAF05439C9C71FE",1)</f>
        <v>=DISPIMG("ID_0BE3406C13BF4D83ABAF05439C9C71FE",1)</v>
      </c>
      <c r="B378" t="s">
        <v>366</v>
      </c>
      <c r="C378" t="s">
        <v>126</v>
      </c>
      <c r="D378" t="s">
        <v>581</v>
      </c>
      <c r="E378" t="s">
        <v>109</v>
      </c>
      <c r="F378" t="s">
        <v>245</v>
      </c>
      <c r="G378" t="s">
        <v>41</v>
      </c>
      <c r="H378" t="s">
        <v>111</v>
      </c>
      <c r="I378" t="s">
        <v>165</v>
      </c>
      <c r="J378" t="s">
        <v>26</v>
      </c>
      <c r="K378" t="s">
        <v>27</v>
      </c>
      <c r="L378" t="s">
        <v>231</v>
      </c>
      <c r="M378" t="s">
        <v>93</v>
      </c>
      <c r="N378" t="s">
        <v>30</v>
      </c>
      <c r="O378" t="s">
        <v>31</v>
      </c>
      <c r="P378" t="s">
        <v>65</v>
      </c>
      <c r="Q378" t="s">
        <v>76</v>
      </c>
      <c r="R378" t="s">
        <v>370</v>
      </c>
      <c r="S378" t="s">
        <v>1284</v>
      </c>
    </row>
    <row r="379" ht="55" customHeight="1" spans="1:19">
      <c r="A379" s="1" t="str">
        <f>_xlfn.DISPIMG("ID_A2024E94F7C448D295B7547F7E005280",1)</f>
        <v>=DISPIMG("ID_A2024E94F7C448D295B7547F7E005280",1)</v>
      </c>
      <c r="B379" t="s">
        <v>58</v>
      </c>
      <c r="C379" t="s">
        <v>1285</v>
      </c>
      <c r="D379" t="s">
        <v>1170</v>
      </c>
      <c r="E379" t="s">
        <v>573</v>
      </c>
      <c r="F379" t="s">
        <v>51</v>
      </c>
      <c r="G379" t="s">
        <v>127</v>
      </c>
      <c r="H379" t="s">
        <v>211</v>
      </c>
      <c r="I379" t="s">
        <v>42</v>
      </c>
      <c r="J379" t="s">
        <v>26</v>
      </c>
      <c r="K379" t="s">
        <v>27</v>
      </c>
      <c r="L379" t="s">
        <v>28</v>
      </c>
      <c r="M379" t="s">
        <v>29</v>
      </c>
      <c r="N379" t="s">
        <v>30</v>
      </c>
      <c r="O379" t="s">
        <v>31</v>
      </c>
      <c r="P379" t="s">
        <v>1286</v>
      </c>
      <c r="Q379" t="s">
        <v>76</v>
      </c>
      <c r="R379" t="s">
        <v>409</v>
      </c>
      <c r="S379" t="s">
        <v>1287</v>
      </c>
    </row>
    <row r="380" ht="55" customHeight="1" spans="1:19">
      <c r="A380" s="1" t="str">
        <f>_xlfn.DISPIMG("ID_6E85A4EE67204E7F99BB8D309CE91CB3",1)</f>
        <v>=DISPIMG("ID_6E85A4EE67204E7F99BB8D309CE91CB3",1)</v>
      </c>
      <c r="B380" t="s">
        <v>988</v>
      </c>
      <c r="C380" t="s">
        <v>89</v>
      </c>
      <c r="D380" t="s">
        <v>664</v>
      </c>
      <c r="E380" t="s">
        <v>305</v>
      </c>
      <c r="F380" t="s">
        <v>989</v>
      </c>
      <c r="G380" t="s">
        <v>1109</v>
      </c>
      <c r="H380" t="s">
        <v>50</v>
      </c>
      <c r="I380" t="s">
        <v>25</v>
      </c>
      <c r="J380" t="s">
        <v>26</v>
      </c>
      <c r="K380" t="s">
        <v>27</v>
      </c>
      <c r="L380" t="s">
        <v>74</v>
      </c>
      <c r="M380" t="s">
        <v>513</v>
      </c>
      <c r="N380" t="s">
        <v>30</v>
      </c>
      <c r="O380" t="s">
        <v>31</v>
      </c>
      <c r="P380" t="s">
        <v>65</v>
      </c>
      <c r="Q380" t="s">
        <v>76</v>
      </c>
      <c r="R380" t="s">
        <v>324</v>
      </c>
      <c r="S380" t="s">
        <v>1288</v>
      </c>
    </row>
    <row r="381" ht="55" customHeight="1" spans="1:19">
      <c r="A381" s="1" t="str">
        <f>_xlfn.DISPIMG("ID_4174538D4B9F40D1A7DDF7FDDED839E6",1)</f>
        <v>=DISPIMG("ID_4174538D4B9F40D1A7DDF7FDDED839E6",1)</v>
      </c>
      <c r="B381" t="s">
        <v>988</v>
      </c>
      <c r="C381" t="s">
        <v>891</v>
      </c>
      <c r="D381" t="s">
        <v>1160</v>
      </c>
      <c r="E381" t="s">
        <v>84</v>
      </c>
      <c r="F381" t="s">
        <v>989</v>
      </c>
      <c r="G381" t="s">
        <v>306</v>
      </c>
      <c r="H381" t="s">
        <v>84</v>
      </c>
      <c r="I381" t="s">
        <v>25</v>
      </c>
      <c r="J381" t="s">
        <v>26</v>
      </c>
      <c r="K381" t="s">
        <v>27</v>
      </c>
      <c r="L381" t="s">
        <v>74</v>
      </c>
      <c r="M381" t="s">
        <v>513</v>
      </c>
      <c r="N381" t="s">
        <v>30</v>
      </c>
      <c r="O381" t="s">
        <v>31</v>
      </c>
      <c r="P381" t="s">
        <v>285</v>
      </c>
      <c r="Q381" t="s">
        <v>183</v>
      </c>
      <c r="R381" t="s">
        <v>324</v>
      </c>
      <c r="S381" t="s">
        <v>1289</v>
      </c>
    </row>
    <row r="382" ht="55" customHeight="1" spans="1:19">
      <c r="A382" s="1" t="str">
        <f>_xlfn.DISPIMG("ID_BD1919F17D534E9BB0481710E952D5CF",1)</f>
        <v>=DISPIMG("ID_BD1919F17D534E9BB0481710E952D5CF",1)</v>
      </c>
      <c r="B382" t="s">
        <v>1290</v>
      </c>
      <c r="C382" t="s">
        <v>532</v>
      </c>
      <c r="D382" t="s">
        <v>865</v>
      </c>
      <c r="E382" t="s">
        <v>204</v>
      </c>
      <c r="F382" t="s">
        <v>40</v>
      </c>
      <c r="G382" t="s">
        <v>431</v>
      </c>
      <c r="H382" t="s">
        <v>72</v>
      </c>
      <c r="I382" t="s">
        <v>42</v>
      </c>
      <c r="J382" t="s">
        <v>26</v>
      </c>
      <c r="K382" t="s">
        <v>27</v>
      </c>
      <c r="L382" t="s">
        <v>74</v>
      </c>
      <c r="M382" t="s">
        <v>29</v>
      </c>
      <c r="N382" t="s">
        <v>30</v>
      </c>
      <c r="O382" t="s">
        <v>31</v>
      </c>
      <c r="P382" t="s">
        <v>75</v>
      </c>
      <c r="Q382" t="s">
        <v>44</v>
      </c>
      <c r="R382" t="s">
        <v>114</v>
      </c>
      <c r="S382" t="s">
        <v>1291</v>
      </c>
    </row>
    <row r="383" ht="55" customHeight="1" spans="1:19">
      <c r="A383" s="1" t="str">
        <f>_xlfn.DISPIMG("ID_19D4E743ACA043AA9CB4D3FDEB3D4084",1)</f>
        <v>=DISPIMG("ID_19D4E743ACA043AA9CB4D3FDEB3D4084",1)</v>
      </c>
      <c r="B383" t="s">
        <v>236</v>
      </c>
      <c r="C383" t="s">
        <v>972</v>
      </c>
      <c r="D383" t="s">
        <v>279</v>
      </c>
      <c r="E383" t="s">
        <v>164</v>
      </c>
      <c r="F383" t="s">
        <v>51</v>
      </c>
      <c r="G383" t="s">
        <v>174</v>
      </c>
      <c r="H383" t="s">
        <v>164</v>
      </c>
      <c r="I383" t="s">
        <v>42</v>
      </c>
      <c r="J383" t="s">
        <v>26</v>
      </c>
      <c r="K383" t="s">
        <v>27</v>
      </c>
      <c r="L383" t="s">
        <v>53</v>
      </c>
      <c r="M383" t="s">
        <v>29</v>
      </c>
      <c r="N383" t="s">
        <v>30</v>
      </c>
      <c r="O383" t="s">
        <v>31</v>
      </c>
      <c r="P383" t="s">
        <v>491</v>
      </c>
      <c r="Q383" t="s">
        <v>85</v>
      </c>
      <c r="R383" t="s">
        <v>104</v>
      </c>
      <c r="S383" t="s">
        <v>1292</v>
      </c>
    </row>
    <row r="384" ht="55" customHeight="1" spans="1:19">
      <c r="A384" s="1" t="str">
        <f>_xlfn.DISPIMG("ID_B1A04AEE6ED641C78FFEE16917513486",1)</f>
        <v>=DISPIMG("ID_B1A04AEE6ED641C78FFEE16917513486",1)</v>
      </c>
      <c r="B384" t="s">
        <v>1293</v>
      </c>
      <c r="C384" t="s">
        <v>1294</v>
      </c>
      <c r="D384" t="s">
        <v>49</v>
      </c>
      <c r="E384" t="s">
        <v>50</v>
      </c>
      <c r="F384" t="s">
        <v>173</v>
      </c>
      <c r="G384" t="s">
        <v>291</v>
      </c>
      <c r="H384" t="s">
        <v>50</v>
      </c>
      <c r="I384" t="s">
        <v>175</v>
      </c>
      <c r="J384" t="s">
        <v>26</v>
      </c>
      <c r="K384" t="s">
        <v>27</v>
      </c>
      <c r="L384" t="s">
        <v>28</v>
      </c>
      <c r="M384" t="s">
        <v>93</v>
      </c>
      <c r="N384" t="s">
        <v>30</v>
      </c>
      <c r="O384" t="s">
        <v>31</v>
      </c>
      <c r="P384" t="s">
        <v>75</v>
      </c>
      <c r="Q384" t="s">
        <v>113</v>
      </c>
      <c r="R384" t="s">
        <v>324</v>
      </c>
      <c r="S384" t="s">
        <v>1295</v>
      </c>
    </row>
    <row r="385" ht="55" customHeight="1" spans="1:19">
      <c r="A385" s="1" t="str">
        <f>_xlfn.DISPIMG("ID_3700E424F551482E9D613DB8BA8C8BAE",1)</f>
        <v>=DISPIMG("ID_3700E424F551482E9D613DB8BA8C8BAE",1)</v>
      </c>
      <c r="B385" t="s">
        <v>924</v>
      </c>
      <c r="C385" t="s">
        <v>1201</v>
      </c>
      <c r="D385" t="s">
        <v>1296</v>
      </c>
      <c r="E385" t="s">
        <v>100</v>
      </c>
      <c r="F385" t="s">
        <v>23</v>
      </c>
      <c r="G385" t="s">
        <v>431</v>
      </c>
      <c r="H385" t="s">
        <v>100</v>
      </c>
      <c r="I385" t="s">
        <v>25</v>
      </c>
      <c r="J385" t="s">
        <v>26</v>
      </c>
      <c r="K385" t="s">
        <v>27</v>
      </c>
      <c r="L385" t="s">
        <v>28</v>
      </c>
      <c r="M385" t="s">
        <v>29</v>
      </c>
      <c r="N385" t="s">
        <v>30</v>
      </c>
      <c r="O385" t="s">
        <v>31</v>
      </c>
      <c r="P385" t="s">
        <v>268</v>
      </c>
      <c r="Q385" t="s">
        <v>553</v>
      </c>
      <c r="R385" t="s">
        <v>981</v>
      </c>
      <c r="S385" t="s">
        <v>1297</v>
      </c>
    </row>
    <row r="386" ht="55" customHeight="1" spans="1:19">
      <c r="A386" s="1" t="str">
        <f>_xlfn.DISPIMG("ID_AE7EDDC671774CEE8E1E74B823421205",1)</f>
        <v>=DISPIMG("ID_AE7EDDC671774CEE8E1E74B823421205",1)</v>
      </c>
      <c r="B386" t="s">
        <v>1298</v>
      </c>
      <c r="C386" t="s">
        <v>1299</v>
      </c>
      <c r="D386" t="s">
        <v>556</v>
      </c>
      <c r="E386" t="s">
        <v>72</v>
      </c>
      <c r="F386" t="s">
        <v>40</v>
      </c>
      <c r="G386" t="s">
        <v>724</v>
      </c>
      <c r="H386" t="s">
        <v>72</v>
      </c>
      <c r="I386" t="s">
        <v>42</v>
      </c>
      <c r="J386" t="s">
        <v>26</v>
      </c>
      <c r="K386" t="s">
        <v>27</v>
      </c>
      <c r="L386" t="s">
        <v>74</v>
      </c>
      <c r="M386" t="s">
        <v>29</v>
      </c>
      <c r="N386" t="s">
        <v>30</v>
      </c>
      <c r="O386" t="s">
        <v>31</v>
      </c>
      <c r="P386" t="s">
        <v>128</v>
      </c>
      <c r="Q386" t="s">
        <v>1300</v>
      </c>
      <c r="R386" t="s">
        <v>147</v>
      </c>
      <c r="S386" t="s">
        <v>1301</v>
      </c>
    </row>
    <row r="387" ht="55" customHeight="1" spans="1:19">
      <c r="A387" s="1" t="str">
        <f>_xlfn.DISPIMG("ID_B697F0533BD34D6F98169C83041727CE",1)</f>
        <v>=DISPIMG("ID_B697F0533BD34D6F98169C83041727CE",1)</v>
      </c>
      <c r="B387" t="s">
        <v>257</v>
      </c>
      <c r="C387" t="s">
        <v>891</v>
      </c>
      <c r="D387" t="s">
        <v>730</v>
      </c>
      <c r="E387" t="s">
        <v>39</v>
      </c>
      <c r="F387" t="s">
        <v>51</v>
      </c>
      <c r="G387" t="s">
        <v>260</v>
      </c>
      <c r="H387" t="s">
        <v>39</v>
      </c>
      <c r="I387" t="s">
        <v>25</v>
      </c>
      <c r="J387" t="s">
        <v>26</v>
      </c>
      <c r="K387" t="s">
        <v>27</v>
      </c>
      <c r="L387" t="s">
        <v>28</v>
      </c>
      <c r="M387" t="s">
        <v>29</v>
      </c>
      <c r="N387" t="s">
        <v>30</v>
      </c>
      <c r="O387" t="s">
        <v>31</v>
      </c>
      <c r="P387" t="s">
        <v>247</v>
      </c>
      <c r="Q387" t="s">
        <v>539</v>
      </c>
      <c r="R387" t="s">
        <v>263</v>
      </c>
      <c r="S387" t="s">
        <v>1302</v>
      </c>
    </row>
    <row r="388" ht="55" customHeight="1" spans="1:19">
      <c r="A388" s="1" t="str">
        <f>_xlfn.DISPIMG("ID_956449C42D684241B4DEF7B4EAE915F1",1)</f>
        <v>=DISPIMG("ID_956449C42D684241B4DEF7B4EAE915F1",1)</v>
      </c>
      <c r="B388" t="s">
        <v>106</v>
      </c>
      <c r="C388" t="s">
        <v>951</v>
      </c>
      <c r="D388" t="s">
        <v>108</v>
      </c>
      <c r="E388" t="s">
        <v>109</v>
      </c>
      <c r="F388" t="s">
        <v>40</v>
      </c>
      <c r="G388" t="s">
        <v>306</v>
      </c>
      <c r="H388" t="s">
        <v>111</v>
      </c>
      <c r="I388" t="s">
        <v>42</v>
      </c>
      <c r="J388" t="s">
        <v>26</v>
      </c>
      <c r="K388" t="s">
        <v>27</v>
      </c>
      <c r="L388" t="s">
        <v>28</v>
      </c>
      <c r="M388" t="s">
        <v>29</v>
      </c>
      <c r="N388" t="s">
        <v>30</v>
      </c>
      <c r="O388" t="s">
        <v>31</v>
      </c>
      <c r="P388" t="s">
        <v>182</v>
      </c>
      <c r="Q388" t="s">
        <v>66</v>
      </c>
      <c r="R388" t="s">
        <v>114</v>
      </c>
      <c r="S388" t="s">
        <v>1303</v>
      </c>
    </row>
    <row r="389" ht="55" customHeight="1" spans="1:19">
      <c r="A389" s="1" t="str">
        <f>_xlfn.DISPIMG("ID_5B08C2F751824BB9A9726F6477F34B63",1)</f>
        <v>=DISPIMG("ID_5B08C2F751824BB9A9726F6477F34B63",1)</v>
      </c>
      <c r="B389" t="s">
        <v>626</v>
      </c>
      <c r="C389" t="s">
        <v>209</v>
      </c>
      <c r="D389" t="s">
        <v>991</v>
      </c>
      <c r="E389" t="s">
        <v>413</v>
      </c>
      <c r="F389" t="s">
        <v>162</v>
      </c>
      <c r="G389" t="s">
        <v>41</v>
      </c>
      <c r="H389" t="s">
        <v>100</v>
      </c>
      <c r="I389" t="s">
        <v>175</v>
      </c>
      <c r="J389" t="s">
        <v>26</v>
      </c>
      <c r="K389" t="s">
        <v>27</v>
      </c>
      <c r="L389" t="s">
        <v>28</v>
      </c>
      <c r="M389" t="s">
        <v>166</v>
      </c>
      <c r="N389" t="s">
        <v>30</v>
      </c>
      <c r="O389" t="s">
        <v>31</v>
      </c>
      <c r="P389" t="s">
        <v>1304</v>
      </c>
      <c r="Q389" t="s">
        <v>539</v>
      </c>
      <c r="R389" t="s">
        <v>1305</v>
      </c>
      <c r="S389" t="s">
        <v>1306</v>
      </c>
    </row>
    <row r="390" ht="55" customHeight="1" spans="1:19">
      <c r="A390" s="1" t="str">
        <f>_xlfn.DISPIMG("ID_3CA23AFB9F0D412AB1A09C16C1F3E098",1)</f>
        <v>=DISPIMG("ID_3CA23AFB9F0D412AB1A09C16C1F3E098",1)</v>
      </c>
      <c r="B390" t="s">
        <v>257</v>
      </c>
      <c r="C390" t="s">
        <v>430</v>
      </c>
      <c r="D390" t="s">
        <v>730</v>
      </c>
      <c r="E390" t="s">
        <v>39</v>
      </c>
      <c r="F390" t="s">
        <v>51</v>
      </c>
      <c r="G390" t="s">
        <v>229</v>
      </c>
      <c r="H390" t="s">
        <v>39</v>
      </c>
      <c r="I390" t="s">
        <v>25</v>
      </c>
      <c r="J390" t="s">
        <v>26</v>
      </c>
      <c r="K390" t="s">
        <v>27</v>
      </c>
      <c r="L390" t="s">
        <v>74</v>
      </c>
      <c r="M390" t="s">
        <v>29</v>
      </c>
      <c r="N390" t="s">
        <v>30</v>
      </c>
      <c r="O390" t="s">
        <v>31</v>
      </c>
      <c r="P390" t="s">
        <v>364</v>
      </c>
      <c r="Q390" t="s">
        <v>352</v>
      </c>
      <c r="R390" t="s">
        <v>263</v>
      </c>
      <c r="S390" t="s">
        <v>1307</v>
      </c>
    </row>
    <row r="391" ht="55" customHeight="1" spans="1:19">
      <c r="A391" s="1" t="str">
        <f>_xlfn.DISPIMG("ID_7824C68D3D2943158A35BC8D67A63065",1)</f>
        <v>=DISPIMG("ID_7824C68D3D2943158A35BC8D67A63065",1)</v>
      </c>
      <c r="B391" t="s">
        <v>571</v>
      </c>
      <c r="C391" t="s">
        <v>89</v>
      </c>
      <c r="D391" t="s">
        <v>412</v>
      </c>
      <c r="E391" t="s">
        <v>413</v>
      </c>
      <c r="F391" t="s">
        <v>91</v>
      </c>
      <c r="G391" t="s">
        <v>101</v>
      </c>
      <c r="H391" t="s">
        <v>100</v>
      </c>
      <c r="I391" t="s">
        <v>175</v>
      </c>
      <c r="J391" t="s">
        <v>26</v>
      </c>
      <c r="K391" t="s">
        <v>27</v>
      </c>
      <c r="L391" t="s">
        <v>231</v>
      </c>
      <c r="M391" t="s">
        <v>93</v>
      </c>
      <c r="N391" t="s">
        <v>30</v>
      </c>
      <c r="O391" t="s">
        <v>31</v>
      </c>
      <c r="P391" t="s">
        <v>340</v>
      </c>
      <c r="Q391" t="s">
        <v>113</v>
      </c>
      <c r="R391" t="s">
        <v>191</v>
      </c>
      <c r="S391" t="s">
        <v>1308</v>
      </c>
    </row>
    <row r="392" ht="55" customHeight="1" spans="1:19">
      <c r="A392" s="1" t="str">
        <f>_xlfn.DISPIMG("ID_05E8925AAB244C96888491FF0782C4D4",1)</f>
        <v>=DISPIMG("ID_05E8925AAB244C96888491FF0782C4D4",1)</v>
      </c>
      <c r="B392" t="s">
        <v>1083</v>
      </c>
      <c r="C392" t="s">
        <v>1309</v>
      </c>
      <c r="D392" t="s">
        <v>400</v>
      </c>
      <c r="E392" t="s">
        <v>1095</v>
      </c>
      <c r="F392" t="s">
        <v>173</v>
      </c>
      <c r="G392" t="s">
        <v>1310</v>
      </c>
      <c r="H392" t="s">
        <v>1095</v>
      </c>
      <c r="I392" t="s">
        <v>175</v>
      </c>
      <c r="J392" t="s">
        <v>26</v>
      </c>
      <c r="K392" t="s">
        <v>27</v>
      </c>
      <c r="L392" t="s">
        <v>28</v>
      </c>
      <c r="M392" t="s">
        <v>93</v>
      </c>
      <c r="N392" t="s">
        <v>64</v>
      </c>
      <c r="O392" t="s">
        <v>31</v>
      </c>
      <c r="P392" t="s">
        <v>274</v>
      </c>
      <c r="Q392" t="s">
        <v>1311</v>
      </c>
      <c r="R392" t="s">
        <v>147</v>
      </c>
      <c r="S392" t="s">
        <v>1312</v>
      </c>
    </row>
    <row r="393" ht="55" customHeight="1" spans="1:19">
      <c r="A393" s="1" t="str">
        <f>_xlfn.DISPIMG("ID_1F342456D8C84078B424A4EF11050925",1)</f>
        <v>=DISPIMG("ID_1F342456D8C84078B424A4EF11050925",1)</v>
      </c>
      <c r="B393" t="s">
        <v>1313</v>
      </c>
      <c r="C393" t="s">
        <v>718</v>
      </c>
      <c r="D393" t="s">
        <v>143</v>
      </c>
      <c r="E393" t="s">
        <v>144</v>
      </c>
      <c r="F393" t="s">
        <v>40</v>
      </c>
      <c r="G393" t="s">
        <v>246</v>
      </c>
      <c r="H393" t="s">
        <v>144</v>
      </c>
      <c r="I393" t="s">
        <v>25</v>
      </c>
      <c r="J393" t="s">
        <v>26</v>
      </c>
      <c r="K393" t="s">
        <v>27</v>
      </c>
      <c r="L393" t="s">
        <v>53</v>
      </c>
      <c r="M393" t="s">
        <v>29</v>
      </c>
      <c r="N393" t="s">
        <v>30</v>
      </c>
      <c r="O393" t="s">
        <v>31</v>
      </c>
      <c r="P393" t="s">
        <v>491</v>
      </c>
      <c r="Q393" t="s">
        <v>297</v>
      </c>
      <c r="R393" t="s">
        <v>945</v>
      </c>
      <c r="S393" t="s">
        <v>1314</v>
      </c>
    </row>
    <row r="394" ht="55" customHeight="1" spans="1:19">
      <c r="A394" s="1" t="str">
        <f>_xlfn.DISPIMG("ID_439350754C0D4422A146FE31C4365985",1)</f>
        <v>=DISPIMG("ID_439350754C0D4422A146FE31C4365985",1)</v>
      </c>
      <c r="B394" t="s">
        <v>242</v>
      </c>
      <c r="C394" t="s">
        <v>576</v>
      </c>
      <c r="D394" t="s">
        <v>762</v>
      </c>
      <c r="E394" t="s">
        <v>573</v>
      </c>
      <c r="F394" t="s">
        <v>245</v>
      </c>
      <c r="G394" t="s">
        <v>724</v>
      </c>
      <c r="H394" t="s">
        <v>211</v>
      </c>
      <c r="I394" t="s">
        <v>165</v>
      </c>
      <c r="J394" t="s">
        <v>26</v>
      </c>
      <c r="K394" t="s">
        <v>27</v>
      </c>
      <c r="L394" t="s">
        <v>231</v>
      </c>
      <c r="M394" t="s">
        <v>93</v>
      </c>
      <c r="N394" t="s">
        <v>30</v>
      </c>
      <c r="O394" t="s">
        <v>31</v>
      </c>
      <c r="P394" t="s">
        <v>75</v>
      </c>
      <c r="Q394" t="s">
        <v>76</v>
      </c>
      <c r="R394" t="s">
        <v>249</v>
      </c>
      <c r="S394" t="s">
        <v>1315</v>
      </c>
    </row>
    <row r="395" ht="55" customHeight="1" spans="1:19">
      <c r="A395" s="1" t="str">
        <f>_xlfn.DISPIMG("ID_876DAD50BD3F434E9FD11A9AF08AE60A",1)</f>
        <v>=DISPIMG("ID_876DAD50BD3F434E9FD11A9AF08AE60A",1)</v>
      </c>
      <c r="B395" t="s">
        <v>97</v>
      </c>
      <c r="C395" t="s">
        <v>407</v>
      </c>
      <c r="D395" t="s">
        <v>356</v>
      </c>
      <c r="E395" t="s">
        <v>50</v>
      </c>
      <c r="F395" t="s">
        <v>51</v>
      </c>
      <c r="G395" t="s">
        <v>174</v>
      </c>
      <c r="H395" t="s">
        <v>50</v>
      </c>
      <c r="I395" t="s">
        <v>42</v>
      </c>
      <c r="J395" t="s">
        <v>26</v>
      </c>
      <c r="K395" t="s">
        <v>27</v>
      </c>
      <c r="L395" t="s">
        <v>28</v>
      </c>
      <c r="M395" t="s">
        <v>29</v>
      </c>
      <c r="N395" t="s">
        <v>30</v>
      </c>
      <c r="O395" t="s">
        <v>31</v>
      </c>
      <c r="P395" t="s">
        <v>473</v>
      </c>
      <c r="Q395" t="s">
        <v>539</v>
      </c>
      <c r="R395" t="s">
        <v>104</v>
      </c>
      <c r="S395" t="s">
        <v>1316</v>
      </c>
    </row>
    <row r="396" ht="55" customHeight="1" spans="1:19">
      <c r="A396" s="1" t="str">
        <f>_xlfn.DISPIMG("ID_B80BB62459E2427FBAF67CEE0B045CCD",1)</f>
        <v>=DISPIMG("ID_B80BB62459E2427FBAF67CEE0B045CCD",1)</v>
      </c>
      <c r="B396" t="s">
        <v>1317</v>
      </c>
      <c r="C396" t="s">
        <v>819</v>
      </c>
      <c r="D396" t="s">
        <v>375</v>
      </c>
      <c r="E396" t="s">
        <v>100</v>
      </c>
      <c r="F396" t="s">
        <v>91</v>
      </c>
      <c r="G396" t="s">
        <v>300</v>
      </c>
      <c r="H396" t="s">
        <v>100</v>
      </c>
      <c r="I396" t="s">
        <v>175</v>
      </c>
      <c r="J396" t="s">
        <v>26</v>
      </c>
      <c r="K396" t="s">
        <v>27</v>
      </c>
      <c r="L396" t="s">
        <v>231</v>
      </c>
      <c r="M396" t="s">
        <v>93</v>
      </c>
      <c r="N396" t="s">
        <v>30</v>
      </c>
      <c r="O396" t="s">
        <v>31</v>
      </c>
      <c r="P396" t="s">
        <v>301</v>
      </c>
      <c r="Q396" t="s">
        <v>765</v>
      </c>
      <c r="R396" t="s">
        <v>191</v>
      </c>
      <c r="S396" t="s">
        <v>1318</v>
      </c>
    </row>
    <row r="397" ht="55" customHeight="1" spans="1:19">
      <c r="A397" s="1" t="str">
        <f>_xlfn.DISPIMG("ID_EF1024914DDA4796B715FC09E70F3912",1)</f>
        <v>=DISPIMG("ID_EF1024914DDA4796B715FC09E70F3912",1)</v>
      </c>
      <c r="B397" t="s">
        <v>465</v>
      </c>
      <c r="C397" t="s">
        <v>611</v>
      </c>
      <c r="D397" t="s">
        <v>973</v>
      </c>
      <c r="E397" t="s">
        <v>1319</v>
      </c>
      <c r="F397" t="s">
        <v>40</v>
      </c>
      <c r="G397" t="s">
        <v>1186</v>
      </c>
      <c r="H397" t="s">
        <v>518</v>
      </c>
      <c r="I397" t="s">
        <v>42</v>
      </c>
      <c r="J397" t="s">
        <v>26</v>
      </c>
      <c r="K397" t="s">
        <v>27</v>
      </c>
      <c r="L397" t="s">
        <v>74</v>
      </c>
      <c r="M397" t="s">
        <v>29</v>
      </c>
      <c r="N397" t="s">
        <v>30</v>
      </c>
      <c r="O397" t="s">
        <v>31</v>
      </c>
      <c r="P397" t="s">
        <v>154</v>
      </c>
      <c r="Q397" t="s">
        <v>66</v>
      </c>
      <c r="R397" t="s">
        <v>45</v>
      </c>
      <c r="S397" t="s">
        <v>1320</v>
      </c>
    </row>
    <row r="398" ht="55" customHeight="1" spans="1:19">
      <c r="A398" s="1" t="str">
        <f>_xlfn.DISPIMG("ID_93E502857DF44FB5BB1C20A1B554AA60",1)</f>
        <v>=DISPIMG("ID_93E502857DF44FB5BB1C20A1B554AA60",1)</v>
      </c>
      <c r="B398" t="s">
        <v>563</v>
      </c>
      <c r="C398" t="s">
        <v>535</v>
      </c>
      <c r="D398" t="s">
        <v>536</v>
      </c>
      <c r="E398" t="s">
        <v>27</v>
      </c>
      <c r="F398" t="s">
        <v>40</v>
      </c>
      <c r="G398" t="s">
        <v>538</v>
      </c>
      <c r="H398" t="s">
        <v>27</v>
      </c>
      <c r="I398" t="s">
        <v>42</v>
      </c>
      <c r="J398" t="s">
        <v>26</v>
      </c>
      <c r="K398" t="s">
        <v>27</v>
      </c>
      <c r="L398" t="s">
        <v>28</v>
      </c>
      <c r="M398" t="s">
        <v>29</v>
      </c>
      <c r="N398" t="s">
        <v>30</v>
      </c>
      <c r="O398" t="s">
        <v>31</v>
      </c>
      <c r="P398" t="s">
        <v>65</v>
      </c>
      <c r="Q398" t="s">
        <v>539</v>
      </c>
      <c r="R398" t="s">
        <v>86</v>
      </c>
      <c r="S398" t="s">
        <v>1321</v>
      </c>
    </row>
    <row r="399" ht="55" customHeight="1" spans="1:19">
      <c r="A399" s="1" t="str">
        <f>_xlfn.DISPIMG("ID_DFF6739CC15F4D6EB110B43D2C927CFF",1)</f>
        <v>=DISPIMG("ID_DFF6739CC15F4D6EB110B43D2C927CFF",1)</v>
      </c>
      <c r="B399" t="s">
        <v>282</v>
      </c>
      <c r="C399" t="s">
        <v>1322</v>
      </c>
      <c r="D399" t="s">
        <v>466</v>
      </c>
      <c r="E399" t="s">
        <v>50</v>
      </c>
      <c r="F399" t="s">
        <v>40</v>
      </c>
      <c r="G399" t="s">
        <v>41</v>
      </c>
      <c r="H399" t="s">
        <v>50</v>
      </c>
      <c r="I399" t="s">
        <v>42</v>
      </c>
      <c r="J399" t="s">
        <v>26</v>
      </c>
      <c r="K399" t="s">
        <v>27</v>
      </c>
      <c r="L399" t="s">
        <v>28</v>
      </c>
      <c r="M399" t="s">
        <v>29</v>
      </c>
      <c r="N399" t="s">
        <v>30</v>
      </c>
      <c r="O399" t="s">
        <v>31</v>
      </c>
      <c r="P399" t="s">
        <v>221</v>
      </c>
      <c r="Q399" t="s">
        <v>255</v>
      </c>
      <c r="R399" t="s">
        <v>45</v>
      </c>
      <c r="S399" t="s">
        <v>1323</v>
      </c>
    </row>
    <row r="400" ht="55" customHeight="1" spans="1:19">
      <c r="A400" s="1" t="str">
        <f>_xlfn.DISPIMG("ID_02A6DC35DBE14BE082E3B9DE86B04BD9",1)</f>
        <v>=DISPIMG("ID_02A6DC35DBE14BE082E3B9DE86B04BD9",1)</v>
      </c>
      <c r="B400" t="s">
        <v>1324</v>
      </c>
      <c r="C400" t="s">
        <v>1325</v>
      </c>
      <c r="D400" t="s">
        <v>511</v>
      </c>
      <c r="E400" t="s">
        <v>197</v>
      </c>
      <c r="F400" t="s">
        <v>401</v>
      </c>
      <c r="G400" t="s">
        <v>1326</v>
      </c>
      <c r="H400" t="s">
        <v>197</v>
      </c>
      <c r="I400" t="s">
        <v>175</v>
      </c>
      <c r="J400" t="s">
        <v>26</v>
      </c>
      <c r="K400" t="s">
        <v>27</v>
      </c>
      <c r="L400" t="s">
        <v>28</v>
      </c>
      <c r="M400" t="s">
        <v>403</v>
      </c>
      <c r="N400" t="s">
        <v>30</v>
      </c>
      <c r="O400" t="s">
        <v>404</v>
      </c>
      <c r="P400" t="s">
        <v>335</v>
      </c>
      <c r="Q400" t="s">
        <v>85</v>
      </c>
      <c r="R400" t="s">
        <v>324</v>
      </c>
      <c r="S400" t="s">
        <v>1327</v>
      </c>
    </row>
    <row r="401" ht="55" customHeight="1" spans="1:19">
      <c r="A401" s="1" t="str">
        <f>_xlfn.DISPIMG("ID_2ACE0107F1794518BF9F437B5E66C39E",1)</f>
        <v>=DISPIMG("ID_2ACE0107F1794518BF9F437B5E66C39E",1)</v>
      </c>
      <c r="B401" t="s">
        <v>626</v>
      </c>
      <c r="C401" t="s">
        <v>654</v>
      </c>
      <c r="D401" t="s">
        <v>730</v>
      </c>
      <c r="E401" t="s">
        <v>731</v>
      </c>
      <c r="F401" t="s">
        <v>162</v>
      </c>
      <c r="G401" t="s">
        <v>1328</v>
      </c>
      <c r="H401" t="s">
        <v>1095</v>
      </c>
      <c r="I401" t="s">
        <v>175</v>
      </c>
      <c r="J401" t="s">
        <v>26</v>
      </c>
      <c r="K401" t="s">
        <v>27</v>
      </c>
      <c r="L401" t="s">
        <v>28</v>
      </c>
      <c r="M401" t="s">
        <v>166</v>
      </c>
      <c r="N401" t="s">
        <v>30</v>
      </c>
      <c r="O401" t="s">
        <v>31</v>
      </c>
      <c r="P401" t="s">
        <v>65</v>
      </c>
      <c r="Q401" t="s">
        <v>677</v>
      </c>
      <c r="R401" t="s">
        <v>147</v>
      </c>
      <c r="S401" t="s">
        <v>1329</v>
      </c>
    </row>
    <row r="402" ht="55" customHeight="1" spans="1:19">
      <c r="A402" s="1" t="str">
        <f>_xlfn.DISPIMG("ID_9B8DACB3D0FA49D6A6097247F1A79D5F",1)</f>
        <v>=DISPIMG("ID_9B8DACB3D0FA49D6A6097247F1A79D5F",1)</v>
      </c>
      <c r="B402" t="s">
        <v>877</v>
      </c>
      <c r="C402" t="s">
        <v>314</v>
      </c>
      <c r="D402" t="s">
        <v>267</v>
      </c>
      <c r="E402" t="s">
        <v>109</v>
      </c>
      <c r="F402" t="s">
        <v>878</v>
      </c>
      <c r="G402" t="s">
        <v>809</v>
      </c>
      <c r="H402" t="s">
        <v>111</v>
      </c>
      <c r="I402" t="s">
        <v>189</v>
      </c>
      <c r="J402" t="s">
        <v>26</v>
      </c>
      <c r="K402" t="s">
        <v>27</v>
      </c>
      <c r="L402" t="s">
        <v>323</v>
      </c>
      <c r="M402" t="s">
        <v>93</v>
      </c>
      <c r="N402" t="s">
        <v>30</v>
      </c>
      <c r="O402" t="s">
        <v>31</v>
      </c>
      <c r="P402" t="s">
        <v>221</v>
      </c>
      <c r="Q402" t="s">
        <v>55</v>
      </c>
      <c r="R402" t="s">
        <v>880</v>
      </c>
      <c r="S402" t="s">
        <v>1330</v>
      </c>
    </row>
    <row r="403" ht="55" customHeight="1" spans="1:19">
      <c r="A403" s="1" t="str">
        <f>_xlfn.DISPIMG("ID_9F1156CB23AF439EA3E64ED0204894CE",1)</f>
        <v>=DISPIMG("ID_9F1156CB23AF439EA3E64ED0204894CE",1)</v>
      </c>
      <c r="B403" t="s">
        <v>282</v>
      </c>
      <c r="C403" t="s">
        <v>37</v>
      </c>
      <c r="D403" t="s">
        <v>349</v>
      </c>
      <c r="E403" t="s">
        <v>84</v>
      </c>
      <c r="F403" t="s">
        <v>40</v>
      </c>
      <c r="G403" t="s">
        <v>606</v>
      </c>
      <c r="H403" t="s">
        <v>84</v>
      </c>
      <c r="I403" t="s">
        <v>42</v>
      </c>
      <c r="J403" t="s">
        <v>26</v>
      </c>
      <c r="K403" t="s">
        <v>27</v>
      </c>
      <c r="L403" t="s">
        <v>28</v>
      </c>
      <c r="M403" t="s">
        <v>29</v>
      </c>
      <c r="N403" t="s">
        <v>30</v>
      </c>
      <c r="O403" t="s">
        <v>31</v>
      </c>
      <c r="P403" t="s">
        <v>301</v>
      </c>
      <c r="Q403" t="s">
        <v>85</v>
      </c>
      <c r="R403" t="s">
        <v>147</v>
      </c>
      <c r="S403" t="s">
        <v>1331</v>
      </c>
    </row>
    <row r="404" ht="55" customHeight="1" spans="1:19">
      <c r="A404" s="1" t="str">
        <f>_xlfn.DISPIMG("ID_FD4BF08F8A774EE398DDB7249B998733",1)</f>
        <v>=DISPIMG("ID_FD4BF08F8A774EE398DDB7249B998733",1)</v>
      </c>
      <c r="B404" t="s">
        <v>1324</v>
      </c>
      <c r="C404" t="s">
        <v>1332</v>
      </c>
      <c r="D404" t="s">
        <v>644</v>
      </c>
      <c r="E404" t="s">
        <v>328</v>
      </c>
      <c r="F404" t="s">
        <v>401</v>
      </c>
      <c r="G404" t="s">
        <v>431</v>
      </c>
      <c r="H404" t="s">
        <v>119</v>
      </c>
      <c r="I404" t="s">
        <v>175</v>
      </c>
      <c r="J404" t="s">
        <v>26</v>
      </c>
      <c r="K404" t="s">
        <v>27</v>
      </c>
      <c r="L404" t="s">
        <v>28</v>
      </c>
      <c r="M404" t="s">
        <v>403</v>
      </c>
      <c r="N404" t="s">
        <v>64</v>
      </c>
      <c r="O404" t="s">
        <v>404</v>
      </c>
      <c r="P404" t="s">
        <v>138</v>
      </c>
      <c r="Q404" t="s">
        <v>297</v>
      </c>
      <c r="R404" t="s">
        <v>324</v>
      </c>
      <c r="S404" t="s">
        <v>1333</v>
      </c>
    </row>
    <row r="405" ht="55" customHeight="1" spans="1:19">
      <c r="A405" s="1" t="str">
        <f>_xlfn.DISPIMG("ID_358A850FD16F4261BB7F5DE57A6A6300",1)</f>
        <v>=DISPIMG("ID_358A850FD16F4261BB7F5DE57A6A6300",1)</v>
      </c>
      <c r="B405" t="s">
        <v>257</v>
      </c>
      <c r="C405" t="s">
        <v>819</v>
      </c>
      <c r="D405" t="s">
        <v>499</v>
      </c>
      <c r="E405" t="s">
        <v>119</v>
      </c>
      <c r="F405" t="s">
        <v>51</v>
      </c>
      <c r="G405" t="s">
        <v>431</v>
      </c>
      <c r="H405" t="s">
        <v>119</v>
      </c>
      <c r="I405" t="s">
        <v>25</v>
      </c>
      <c r="J405" t="s">
        <v>26</v>
      </c>
      <c r="K405" t="s">
        <v>27</v>
      </c>
      <c r="L405" t="s">
        <v>53</v>
      </c>
      <c r="M405" t="s">
        <v>29</v>
      </c>
      <c r="N405" t="s">
        <v>30</v>
      </c>
      <c r="O405" t="s">
        <v>31</v>
      </c>
      <c r="P405" t="s">
        <v>221</v>
      </c>
      <c r="Q405" t="s">
        <v>1334</v>
      </c>
      <c r="R405" t="s">
        <v>263</v>
      </c>
      <c r="S405" t="s">
        <v>1335</v>
      </c>
    </row>
    <row r="406" ht="55" customHeight="1" spans="1:19">
      <c r="A406" s="1" t="str">
        <f>_xlfn.DISPIMG("ID_BB47D284B6ED4DD19805BCD3E2B088E2",1)</f>
        <v>=DISPIMG("ID_BB47D284B6ED4DD19805BCD3E2B088E2",1)</v>
      </c>
      <c r="B406" t="s">
        <v>106</v>
      </c>
      <c r="C406" t="s">
        <v>386</v>
      </c>
      <c r="D406" t="s">
        <v>304</v>
      </c>
      <c r="E406" t="s">
        <v>305</v>
      </c>
      <c r="F406" t="s">
        <v>40</v>
      </c>
      <c r="G406" t="s">
        <v>312</v>
      </c>
      <c r="H406" t="s">
        <v>50</v>
      </c>
      <c r="I406" t="s">
        <v>42</v>
      </c>
      <c r="J406" t="s">
        <v>26</v>
      </c>
      <c r="K406" t="s">
        <v>27</v>
      </c>
      <c r="L406" t="s">
        <v>74</v>
      </c>
      <c r="M406" t="s">
        <v>29</v>
      </c>
      <c r="N406" t="s">
        <v>30</v>
      </c>
      <c r="O406" t="s">
        <v>31</v>
      </c>
      <c r="P406" t="s">
        <v>698</v>
      </c>
      <c r="Q406" t="s">
        <v>359</v>
      </c>
      <c r="R406" t="s">
        <v>114</v>
      </c>
      <c r="S406" t="s">
        <v>1336</v>
      </c>
    </row>
    <row r="407" ht="55" customHeight="1" spans="1:19">
      <c r="A407" s="1" t="str">
        <f>_xlfn.DISPIMG("ID_E0ED945C834A4549BC79CC184F871B78",1)</f>
        <v>=DISPIMG("ID_E0ED945C834A4549BC79CC184F871B78",1)</v>
      </c>
      <c r="B407" t="s">
        <v>242</v>
      </c>
      <c r="C407" t="s">
        <v>1337</v>
      </c>
      <c r="D407" t="s">
        <v>368</v>
      </c>
      <c r="E407" t="s">
        <v>135</v>
      </c>
      <c r="F407" t="s">
        <v>245</v>
      </c>
      <c r="G407" t="s">
        <v>436</v>
      </c>
      <c r="H407" t="s">
        <v>135</v>
      </c>
      <c r="I407" t="s">
        <v>165</v>
      </c>
      <c r="J407" t="s">
        <v>26</v>
      </c>
      <c r="K407" t="s">
        <v>27</v>
      </c>
      <c r="L407" t="s">
        <v>231</v>
      </c>
      <c r="M407" t="s">
        <v>93</v>
      </c>
      <c r="N407" t="s">
        <v>30</v>
      </c>
      <c r="O407" t="s">
        <v>31</v>
      </c>
      <c r="P407" t="s">
        <v>285</v>
      </c>
      <c r="Q407" t="s">
        <v>183</v>
      </c>
      <c r="R407" t="s">
        <v>249</v>
      </c>
      <c r="S407" t="s">
        <v>1338</v>
      </c>
    </row>
    <row r="408" ht="55" customHeight="1" spans="1:19">
      <c r="A408" s="1" t="str">
        <f>_xlfn.DISPIMG("ID_534738B888604B6AB0CC46CC3EAEE9A6",1)</f>
        <v>=DISPIMG("ID_534738B888604B6AB0CC46CC3EAEE9A6",1)</v>
      </c>
      <c r="B408" t="s">
        <v>366</v>
      </c>
      <c r="C408" t="s">
        <v>150</v>
      </c>
      <c r="D408" t="s">
        <v>577</v>
      </c>
      <c r="E408" t="s">
        <v>311</v>
      </c>
      <c r="F408" t="s">
        <v>245</v>
      </c>
      <c r="G408" t="s">
        <v>1044</v>
      </c>
      <c r="H408" t="s">
        <v>39</v>
      </c>
      <c r="I408" t="s">
        <v>165</v>
      </c>
      <c r="J408" t="s">
        <v>26</v>
      </c>
      <c r="K408" t="s">
        <v>27</v>
      </c>
      <c r="L408" t="s">
        <v>28</v>
      </c>
      <c r="M408" t="s">
        <v>93</v>
      </c>
      <c r="N408" t="s">
        <v>30</v>
      </c>
      <c r="O408" t="s">
        <v>31</v>
      </c>
      <c r="P408" t="s">
        <v>146</v>
      </c>
      <c r="Q408" t="s">
        <v>369</v>
      </c>
      <c r="R408" t="s">
        <v>370</v>
      </c>
      <c r="S408" t="s">
        <v>1339</v>
      </c>
    </row>
    <row r="409" ht="55" customHeight="1" spans="1:19">
      <c r="A409" s="1" t="str">
        <f>_xlfn.DISPIMG("ID_BA0BF048EA8E450AB5DC2FCA25F0F831",1)</f>
        <v>=DISPIMG("ID_BA0BF048EA8E450AB5DC2FCA25F0F831",1)</v>
      </c>
      <c r="B409" t="s">
        <v>170</v>
      </c>
      <c r="C409" t="s">
        <v>823</v>
      </c>
      <c r="D409" t="s">
        <v>978</v>
      </c>
      <c r="E409" t="s">
        <v>144</v>
      </c>
      <c r="F409" t="s">
        <v>173</v>
      </c>
      <c r="G409" t="s">
        <v>1199</v>
      </c>
      <c r="H409" t="s">
        <v>144</v>
      </c>
      <c r="I409" t="s">
        <v>175</v>
      </c>
      <c r="J409" t="s">
        <v>26</v>
      </c>
      <c r="K409" t="s">
        <v>27</v>
      </c>
      <c r="L409" t="s">
        <v>329</v>
      </c>
      <c r="M409" t="s">
        <v>93</v>
      </c>
      <c r="N409" t="s">
        <v>30</v>
      </c>
      <c r="O409" t="s">
        <v>31</v>
      </c>
      <c r="P409" t="s">
        <v>351</v>
      </c>
      <c r="Q409" t="s">
        <v>369</v>
      </c>
      <c r="R409" t="s">
        <v>176</v>
      </c>
      <c r="S409" t="s">
        <v>1340</v>
      </c>
    </row>
    <row r="410" ht="55" customHeight="1" spans="1:19">
      <c r="A410" s="1" t="str">
        <f>_xlfn.DISPIMG("ID_85471944FF9844E19AC53671415180B4",1)</f>
        <v>=DISPIMG("ID_85471944FF9844E19AC53671415180B4",1)</v>
      </c>
      <c r="B410" t="s">
        <v>257</v>
      </c>
      <c r="C410" t="s">
        <v>680</v>
      </c>
      <c r="D410" t="s">
        <v>1341</v>
      </c>
      <c r="E410" t="s">
        <v>111</v>
      </c>
      <c r="F410" t="s">
        <v>51</v>
      </c>
      <c r="G410" t="s">
        <v>431</v>
      </c>
      <c r="H410" t="s">
        <v>111</v>
      </c>
      <c r="I410" t="s">
        <v>25</v>
      </c>
      <c r="J410" t="s">
        <v>26</v>
      </c>
      <c r="K410" t="s">
        <v>27</v>
      </c>
      <c r="L410" t="s">
        <v>53</v>
      </c>
      <c r="M410" t="s">
        <v>29</v>
      </c>
      <c r="N410" t="s">
        <v>661</v>
      </c>
      <c r="O410" t="s">
        <v>31</v>
      </c>
      <c r="P410" t="s">
        <v>112</v>
      </c>
      <c r="Q410" t="s">
        <v>539</v>
      </c>
      <c r="R410" t="s">
        <v>263</v>
      </c>
      <c r="S410" t="s">
        <v>1342</v>
      </c>
    </row>
    <row r="411" ht="55" customHeight="1" spans="1:19">
      <c r="A411" s="1" t="str">
        <f>_xlfn.DISPIMG("ID_D106D78AF59F4C86992AB029412EFC8E",1)</f>
        <v>=DISPIMG("ID_D106D78AF59F4C86992AB029412EFC8E",1)</v>
      </c>
      <c r="B411" t="s">
        <v>754</v>
      </c>
      <c r="C411" t="s">
        <v>594</v>
      </c>
      <c r="D411" t="s">
        <v>220</v>
      </c>
      <c r="E411" t="s">
        <v>164</v>
      </c>
      <c r="F411" t="s">
        <v>162</v>
      </c>
      <c r="G411" t="s">
        <v>1343</v>
      </c>
      <c r="H411" t="s">
        <v>164</v>
      </c>
      <c r="I411" t="s">
        <v>175</v>
      </c>
      <c r="J411" t="s">
        <v>26</v>
      </c>
      <c r="K411" t="s">
        <v>27</v>
      </c>
      <c r="L411" t="s">
        <v>28</v>
      </c>
      <c r="M411" t="s">
        <v>166</v>
      </c>
      <c r="N411" t="s">
        <v>30</v>
      </c>
      <c r="O411" t="s">
        <v>31</v>
      </c>
      <c r="P411" t="s">
        <v>221</v>
      </c>
      <c r="Q411" t="s">
        <v>113</v>
      </c>
      <c r="R411" t="s">
        <v>234</v>
      </c>
      <c r="S411" t="s">
        <v>1344</v>
      </c>
    </row>
    <row r="412" ht="55" customHeight="1" spans="1:19">
      <c r="A412" s="1" t="str">
        <f>_xlfn.DISPIMG("ID_565728F6B9BB47F3845684C746296E3B",1)</f>
        <v>=DISPIMG("ID_565728F6B9BB47F3845684C746296E3B",1)</v>
      </c>
      <c r="B412" t="s">
        <v>257</v>
      </c>
      <c r="C412" t="s">
        <v>936</v>
      </c>
      <c r="D412" t="s">
        <v>315</v>
      </c>
      <c r="E412" t="s">
        <v>316</v>
      </c>
      <c r="F412" t="s">
        <v>51</v>
      </c>
      <c r="G412" t="s">
        <v>73</v>
      </c>
      <c r="H412" t="s">
        <v>144</v>
      </c>
      <c r="I412" t="s">
        <v>25</v>
      </c>
      <c r="J412" t="s">
        <v>26</v>
      </c>
      <c r="K412" t="s">
        <v>27</v>
      </c>
      <c r="L412" t="s">
        <v>74</v>
      </c>
      <c r="M412" t="s">
        <v>29</v>
      </c>
      <c r="N412" t="s">
        <v>30</v>
      </c>
      <c r="O412" t="s">
        <v>31</v>
      </c>
      <c r="P412" t="s">
        <v>65</v>
      </c>
      <c r="Q412" t="s">
        <v>652</v>
      </c>
      <c r="R412" t="s">
        <v>263</v>
      </c>
      <c r="S412" t="s">
        <v>1345</v>
      </c>
    </row>
    <row r="413" ht="55" customHeight="1" spans="1:19">
      <c r="A413" s="1" t="str">
        <f>_xlfn.DISPIMG("ID_7C026041043B48CD892D09212386D213",1)</f>
        <v>=DISPIMG("ID_7C026041043B48CD892D09212386D213",1)</v>
      </c>
      <c r="B413" t="s">
        <v>97</v>
      </c>
      <c r="C413" t="s">
        <v>801</v>
      </c>
      <c r="D413" t="s">
        <v>1160</v>
      </c>
      <c r="E413" t="s">
        <v>461</v>
      </c>
      <c r="F413" t="s">
        <v>51</v>
      </c>
      <c r="G413" t="s">
        <v>1346</v>
      </c>
      <c r="H413" t="s">
        <v>461</v>
      </c>
      <c r="I413" t="s">
        <v>42</v>
      </c>
      <c r="J413" t="s">
        <v>26</v>
      </c>
      <c r="K413" t="s">
        <v>27</v>
      </c>
      <c r="L413" t="s">
        <v>74</v>
      </c>
      <c r="M413" t="s">
        <v>29</v>
      </c>
      <c r="N413" t="s">
        <v>30</v>
      </c>
      <c r="O413" t="s">
        <v>31</v>
      </c>
      <c r="P413" t="s">
        <v>112</v>
      </c>
      <c r="Q413" t="s">
        <v>795</v>
      </c>
      <c r="R413" t="s">
        <v>104</v>
      </c>
      <c r="S413" t="s">
        <v>1347</v>
      </c>
    </row>
    <row r="414" ht="55" customHeight="1" spans="1:19">
      <c r="A414" s="1" t="str">
        <f>_xlfn.DISPIMG("ID_03399EF3B8FE4674B9AC80C87C15EBA9",1)</f>
        <v>=DISPIMG("ID_03399EF3B8FE4674B9AC80C87C15EBA9",1)</v>
      </c>
      <c r="B414" t="s">
        <v>106</v>
      </c>
      <c r="C414" t="s">
        <v>1348</v>
      </c>
      <c r="D414" t="s">
        <v>310</v>
      </c>
      <c r="E414" t="s">
        <v>1349</v>
      </c>
      <c r="F414" t="s">
        <v>40</v>
      </c>
      <c r="G414" t="s">
        <v>431</v>
      </c>
      <c r="H414" t="s">
        <v>1349</v>
      </c>
      <c r="I414" t="s">
        <v>42</v>
      </c>
      <c r="J414" t="s">
        <v>26</v>
      </c>
      <c r="K414" t="s">
        <v>27</v>
      </c>
      <c r="L414" t="s">
        <v>74</v>
      </c>
      <c r="M414" t="s">
        <v>29</v>
      </c>
      <c r="N414" t="s">
        <v>30</v>
      </c>
      <c r="O414" t="s">
        <v>31</v>
      </c>
      <c r="P414" t="s">
        <v>473</v>
      </c>
      <c r="Q414" t="s">
        <v>167</v>
      </c>
      <c r="R414" t="s">
        <v>147</v>
      </c>
      <c r="S414" t="s">
        <v>1350</v>
      </c>
    </row>
    <row r="415" ht="55" customHeight="1" spans="1:19">
      <c r="A415" s="1" t="str">
        <f>_xlfn.DISPIMG("ID_73F49FB9C3D54F29A42BEE6984174398",1)</f>
        <v>=DISPIMG("ID_73F49FB9C3D54F29A42BEE6984174398",1)</v>
      </c>
      <c r="B415" t="s">
        <v>1351</v>
      </c>
      <c r="C415" t="s">
        <v>1352</v>
      </c>
      <c r="D415" t="s">
        <v>1353</v>
      </c>
      <c r="E415" t="s">
        <v>641</v>
      </c>
      <c r="F415" t="s">
        <v>23</v>
      </c>
      <c r="G415" t="s">
        <v>402</v>
      </c>
      <c r="H415" t="s">
        <v>641</v>
      </c>
      <c r="I415" t="s">
        <v>137</v>
      </c>
      <c r="J415" t="s">
        <v>26</v>
      </c>
      <c r="K415" t="s">
        <v>27</v>
      </c>
      <c r="L415" t="s">
        <v>74</v>
      </c>
      <c r="M415" t="s">
        <v>29</v>
      </c>
      <c r="N415" t="s">
        <v>30</v>
      </c>
      <c r="O415" t="s">
        <v>31</v>
      </c>
      <c r="P415" t="s">
        <v>154</v>
      </c>
      <c r="Q415" t="s">
        <v>275</v>
      </c>
      <c r="R415" t="s">
        <v>456</v>
      </c>
      <c r="S415" t="s">
        <v>1354</v>
      </c>
    </row>
    <row r="416" ht="55" customHeight="1" spans="1:19">
      <c r="A416" s="1" t="str">
        <f>_xlfn.DISPIMG("ID_789CF18D305841EB87DBEE03706541BB",1)</f>
        <v>=DISPIMG("ID_789CF18D305841EB87DBEE03706541BB",1)</v>
      </c>
      <c r="B416" t="s">
        <v>1355</v>
      </c>
      <c r="C416" t="s">
        <v>372</v>
      </c>
      <c r="D416" t="s">
        <v>1356</v>
      </c>
      <c r="E416" t="s">
        <v>72</v>
      </c>
      <c r="F416" t="s">
        <v>23</v>
      </c>
      <c r="G416" t="s">
        <v>284</v>
      </c>
      <c r="H416" t="s">
        <v>72</v>
      </c>
      <c r="I416" t="s">
        <v>175</v>
      </c>
      <c r="J416" t="s">
        <v>26</v>
      </c>
      <c r="K416" t="s">
        <v>27</v>
      </c>
      <c r="L416" t="s">
        <v>28</v>
      </c>
      <c r="M416" t="s">
        <v>29</v>
      </c>
      <c r="N416" t="s">
        <v>30</v>
      </c>
      <c r="O416" t="s">
        <v>31</v>
      </c>
      <c r="P416" t="s">
        <v>463</v>
      </c>
      <c r="Q416" t="s">
        <v>113</v>
      </c>
      <c r="R416" t="s">
        <v>1357</v>
      </c>
      <c r="S416" t="s">
        <v>1358</v>
      </c>
    </row>
    <row r="417" ht="55" customHeight="1" spans="1:19">
      <c r="A417" s="1" t="str">
        <f>_xlfn.DISPIMG("ID_E0A6BD58CD604C6883B9DED5C26452F4",1)</f>
        <v>=DISPIMG("ID_E0A6BD58CD604C6883B9DED5C26452F4",1)</v>
      </c>
      <c r="B417" t="s">
        <v>257</v>
      </c>
      <c r="C417" t="s">
        <v>258</v>
      </c>
      <c r="D417" t="s">
        <v>695</v>
      </c>
      <c r="E417" t="s">
        <v>311</v>
      </c>
      <c r="F417" t="s">
        <v>51</v>
      </c>
      <c r="G417" t="s">
        <v>291</v>
      </c>
      <c r="H417" t="s">
        <v>39</v>
      </c>
      <c r="I417" t="s">
        <v>25</v>
      </c>
      <c r="J417" t="s">
        <v>26</v>
      </c>
      <c r="K417" t="s">
        <v>27</v>
      </c>
      <c r="L417" t="s">
        <v>74</v>
      </c>
      <c r="M417" t="s">
        <v>29</v>
      </c>
      <c r="N417" t="s">
        <v>30</v>
      </c>
      <c r="O417" t="s">
        <v>31</v>
      </c>
      <c r="P417" t="s">
        <v>65</v>
      </c>
      <c r="Q417" t="s">
        <v>468</v>
      </c>
      <c r="R417" t="s">
        <v>263</v>
      </c>
      <c r="S417" t="s">
        <v>1359</v>
      </c>
    </row>
    <row r="418" ht="55" customHeight="1" spans="1:19">
      <c r="A418" s="1" t="str">
        <f>_xlfn.DISPIMG("ID_E4A94AB04547420A8C0533333CCC9E3C",1)</f>
        <v>=DISPIMG("ID_E4A94AB04547420A8C0533333CCC9E3C",1)</v>
      </c>
      <c r="B418" t="s">
        <v>614</v>
      </c>
      <c r="C418" t="s">
        <v>780</v>
      </c>
      <c r="D418" t="s">
        <v>595</v>
      </c>
      <c r="E418" t="s">
        <v>1360</v>
      </c>
      <c r="F418" t="s">
        <v>512</v>
      </c>
      <c r="G418" t="s">
        <v>101</v>
      </c>
      <c r="H418" t="s">
        <v>63</v>
      </c>
      <c r="I418" t="s">
        <v>137</v>
      </c>
      <c r="J418" t="s">
        <v>26</v>
      </c>
      <c r="K418" t="s">
        <v>27</v>
      </c>
      <c r="L418" t="s">
        <v>28</v>
      </c>
      <c r="M418" t="s">
        <v>513</v>
      </c>
      <c r="N418" t="s">
        <v>30</v>
      </c>
      <c r="O418" t="s">
        <v>31</v>
      </c>
      <c r="P418" t="s">
        <v>1361</v>
      </c>
      <c r="Q418" t="s">
        <v>849</v>
      </c>
      <c r="R418" t="s">
        <v>618</v>
      </c>
      <c r="S418" t="s">
        <v>1362</v>
      </c>
    </row>
    <row r="419" ht="55" customHeight="1" spans="1:19">
      <c r="A419" s="1" t="str">
        <f>_xlfn.DISPIMG("ID_8AF5C28DF40D49D3A5F390876CB46542",1)</f>
        <v>=DISPIMG("ID_8AF5C28DF40D49D3A5F390876CB46542",1)</v>
      </c>
      <c r="B419" t="s">
        <v>242</v>
      </c>
      <c r="C419" t="s">
        <v>258</v>
      </c>
      <c r="D419" t="s">
        <v>143</v>
      </c>
      <c r="E419" t="s">
        <v>144</v>
      </c>
      <c r="F419" t="s">
        <v>245</v>
      </c>
      <c r="G419" t="s">
        <v>1363</v>
      </c>
      <c r="H419" t="s">
        <v>144</v>
      </c>
      <c r="I419" t="s">
        <v>165</v>
      </c>
      <c r="J419" t="s">
        <v>26</v>
      </c>
      <c r="K419" t="s">
        <v>27</v>
      </c>
      <c r="L419" t="s">
        <v>28</v>
      </c>
      <c r="M419" t="s">
        <v>93</v>
      </c>
      <c r="N419" t="s">
        <v>30</v>
      </c>
      <c r="O419" t="s">
        <v>31</v>
      </c>
      <c r="P419" t="s">
        <v>138</v>
      </c>
      <c r="Q419" t="s">
        <v>369</v>
      </c>
      <c r="R419" t="s">
        <v>249</v>
      </c>
      <c r="S419" t="s">
        <v>1364</v>
      </c>
    </row>
    <row r="420" ht="55" customHeight="1" spans="1:19">
      <c r="A420" s="1" t="str">
        <f>_xlfn.DISPIMG("ID_16672176A152456C816A3FE67FFC773E",1)</f>
        <v>=DISPIMG("ID_16672176A152456C816A3FE67FFC773E",1)</v>
      </c>
      <c r="B420" t="s">
        <v>458</v>
      </c>
      <c r="C420" t="s">
        <v>498</v>
      </c>
      <c r="D420" t="s">
        <v>695</v>
      </c>
      <c r="E420" t="s">
        <v>311</v>
      </c>
      <c r="F420" t="s">
        <v>173</v>
      </c>
      <c r="G420" t="s">
        <v>260</v>
      </c>
      <c r="H420" t="s">
        <v>39</v>
      </c>
      <c r="I420" t="s">
        <v>175</v>
      </c>
      <c r="J420" t="s">
        <v>26</v>
      </c>
      <c r="K420" t="s">
        <v>27</v>
      </c>
      <c r="L420" t="s">
        <v>28</v>
      </c>
      <c r="M420" t="s">
        <v>93</v>
      </c>
      <c r="N420" t="s">
        <v>30</v>
      </c>
      <c r="O420" t="s">
        <v>31</v>
      </c>
      <c r="P420" t="s">
        <v>154</v>
      </c>
      <c r="Q420" t="s">
        <v>76</v>
      </c>
      <c r="R420" t="s">
        <v>618</v>
      </c>
      <c r="S420" t="s">
        <v>1365</v>
      </c>
    </row>
    <row r="421" ht="55" customHeight="1" spans="1:19">
      <c r="A421" s="1" t="str">
        <f>_xlfn.DISPIMG("ID_CC683C630A564D93B1F299CEE1B705BB",1)</f>
        <v>=DISPIMG("ID_CC683C630A564D93B1F299CEE1B705BB",1)</v>
      </c>
      <c r="B421" t="s">
        <v>754</v>
      </c>
      <c r="C421" t="s">
        <v>314</v>
      </c>
      <c r="D421" t="s">
        <v>1366</v>
      </c>
      <c r="E421" t="s">
        <v>63</v>
      </c>
      <c r="F421" t="s">
        <v>162</v>
      </c>
      <c r="G421" t="s">
        <v>431</v>
      </c>
      <c r="H421" t="s">
        <v>63</v>
      </c>
      <c r="I421" t="s">
        <v>175</v>
      </c>
      <c r="J421" t="s">
        <v>26</v>
      </c>
      <c r="K421" t="s">
        <v>27</v>
      </c>
      <c r="L421" t="s">
        <v>28</v>
      </c>
      <c r="M421" t="s">
        <v>166</v>
      </c>
      <c r="N421" t="s">
        <v>64</v>
      </c>
      <c r="O421" t="s">
        <v>31</v>
      </c>
      <c r="P421" t="s">
        <v>154</v>
      </c>
      <c r="Q421" t="s">
        <v>233</v>
      </c>
      <c r="R421" t="s">
        <v>234</v>
      </c>
      <c r="S421" t="s">
        <v>1367</v>
      </c>
    </row>
    <row r="422" ht="55" customHeight="1" spans="1:19">
      <c r="A422" s="1" t="str">
        <f>_xlfn.DISPIMG("ID_3966E7B841D742DE93A167EB37E4935C",1)</f>
        <v>=DISPIMG("ID_3966E7B841D742DE93A167EB37E4935C",1)</v>
      </c>
      <c r="B422" t="s">
        <v>106</v>
      </c>
      <c r="C422" t="s">
        <v>910</v>
      </c>
      <c r="D422" t="s">
        <v>253</v>
      </c>
      <c r="E422" t="s">
        <v>161</v>
      </c>
      <c r="F422" t="s">
        <v>40</v>
      </c>
      <c r="G422" t="s">
        <v>101</v>
      </c>
      <c r="H422" t="s">
        <v>164</v>
      </c>
      <c r="I422" t="s">
        <v>42</v>
      </c>
      <c r="J422" t="s">
        <v>26</v>
      </c>
      <c r="K422" t="s">
        <v>27</v>
      </c>
      <c r="L422" t="s">
        <v>28</v>
      </c>
      <c r="M422" t="s">
        <v>29</v>
      </c>
      <c r="N422" t="s">
        <v>30</v>
      </c>
      <c r="O422" t="s">
        <v>31</v>
      </c>
      <c r="P422" t="s">
        <v>54</v>
      </c>
      <c r="Q422" t="s">
        <v>190</v>
      </c>
      <c r="R422" t="s">
        <v>114</v>
      </c>
      <c r="S422" t="s">
        <v>1368</v>
      </c>
    </row>
    <row r="423" ht="55" customHeight="1" spans="1:19">
      <c r="A423" s="1" t="str">
        <f>_xlfn.DISPIMG("ID_A087FA25FA254DB391028F6777BC2B84",1)</f>
        <v>=DISPIMG("ID_A087FA25FA254DB391028F6777BC2B84",1)</v>
      </c>
      <c r="B423" t="s">
        <v>201</v>
      </c>
      <c r="C423" t="s">
        <v>545</v>
      </c>
      <c r="D423" t="s">
        <v>375</v>
      </c>
      <c r="E423" t="s">
        <v>100</v>
      </c>
      <c r="F423" t="s">
        <v>40</v>
      </c>
      <c r="G423" t="s">
        <v>444</v>
      </c>
      <c r="H423" t="s">
        <v>100</v>
      </c>
      <c r="I423" t="s">
        <v>42</v>
      </c>
      <c r="J423" t="s">
        <v>26</v>
      </c>
      <c r="K423" t="s">
        <v>27</v>
      </c>
      <c r="L423" t="s">
        <v>28</v>
      </c>
      <c r="M423" t="s">
        <v>29</v>
      </c>
      <c r="N423" t="s">
        <v>30</v>
      </c>
      <c r="O423" t="s">
        <v>31</v>
      </c>
      <c r="P423" t="s">
        <v>138</v>
      </c>
      <c r="Q423" t="s">
        <v>190</v>
      </c>
      <c r="R423" t="s">
        <v>86</v>
      </c>
      <c r="S423" t="s">
        <v>1369</v>
      </c>
    </row>
    <row r="424" ht="55" customHeight="1" spans="1:19">
      <c r="A424" s="1" t="str">
        <f>_xlfn.DISPIMG("ID_C551AC288CC34708B5FA574D76E698B0",1)</f>
        <v>=DISPIMG("ID_C551AC288CC34708B5FA574D76E698B0",1)</v>
      </c>
      <c r="B424" t="s">
        <v>924</v>
      </c>
      <c r="C424" t="s">
        <v>668</v>
      </c>
      <c r="D424" t="s">
        <v>812</v>
      </c>
      <c r="E424" t="s">
        <v>39</v>
      </c>
      <c r="F424" t="s">
        <v>23</v>
      </c>
      <c r="G424" t="s">
        <v>174</v>
      </c>
      <c r="H424" t="s">
        <v>39</v>
      </c>
      <c r="I424" t="s">
        <v>25</v>
      </c>
      <c r="J424" t="s">
        <v>26</v>
      </c>
      <c r="K424" t="s">
        <v>27</v>
      </c>
      <c r="L424" t="s">
        <v>28</v>
      </c>
      <c r="M424" t="s">
        <v>29</v>
      </c>
      <c r="N424" t="s">
        <v>64</v>
      </c>
      <c r="O424" t="s">
        <v>31</v>
      </c>
      <c r="P424" t="s">
        <v>285</v>
      </c>
      <c r="Q424" t="s">
        <v>297</v>
      </c>
      <c r="R424" t="s">
        <v>981</v>
      </c>
      <c r="S424" t="s">
        <v>1370</v>
      </c>
    </row>
    <row r="425" ht="55" customHeight="1" spans="1:19">
      <c r="A425" s="1" t="str">
        <f>_xlfn.DISPIMG("ID_4EB4095D00F5415AB0B4BC4C9809632E",1)</f>
        <v>=DISPIMG("ID_4EB4095D00F5415AB0B4BC4C9809632E",1)</v>
      </c>
      <c r="B425" t="s">
        <v>236</v>
      </c>
      <c r="C425" t="s">
        <v>972</v>
      </c>
      <c r="D425" t="s">
        <v>442</v>
      </c>
      <c r="E425" t="s">
        <v>82</v>
      </c>
      <c r="F425" t="s">
        <v>51</v>
      </c>
      <c r="G425" t="s">
        <v>284</v>
      </c>
      <c r="H425" t="s">
        <v>84</v>
      </c>
      <c r="I425" t="s">
        <v>42</v>
      </c>
      <c r="J425" t="s">
        <v>26</v>
      </c>
      <c r="K425" t="s">
        <v>27</v>
      </c>
      <c r="L425" t="s">
        <v>74</v>
      </c>
      <c r="M425" t="s">
        <v>29</v>
      </c>
      <c r="N425" t="s">
        <v>30</v>
      </c>
      <c r="O425" t="s">
        <v>31</v>
      </c>
      <c r="P425" t="s">
        <v>65</v>
      </c>
      <c r="Q425" t="s">
        <v>66</v>
      </c>
      <c r="R425" t="s">
        <v>104</v>
      </c>
      <c r="S425" t="s">
        <v>1371</v>
      </c>
    </row>
    <row r="426" ht="55" customHeight="1" spans="1:19">
      <c r="A426" s="1" t="str">
        <f>_xlfn.DISPIMG("ID_B1F101ACDDAF43D39C1934FFE76062D9",1)</f>
        <v>=DISPIMG("ID_B1F101ACDDAF43D39C1934FFE76062D9",1)</v>
      </c>
      <c r="B426" t="s">
        <v>257</v>
      </c>
      <c r="C426" t="s">
        <v>333</v>
      </c>
      <c r="D426" t="s">
        <v>506</v>
      </c>
      <c r="E426" t="s">
        <v>507</v>
      </c>
      <c r="F426" t="s">
        <v>51</v>
      </c>
      <c r="G426" t="s">
        <v>1343</v>
      </c>
      <c r="H426" t="s">
        <v>135</v>
      </c>
      <c r="I426" t="s">
        <v>25</v>
      </c>
      <c r="J426" t="s">
        <v>26</v>
      </c>
      <c r="K426" t="s">
        <v>27</v>
      </c>
      <c r="L426" t="s">
        <v>74</v>
      </c>
      <c r="M426" t="s">
        <v>29</v>
      </c>
      <c r="N426" t="s">
        <v>64</v>
      </c>
      <c r="O426" t="s">
        <v>31</v>
      </c>
      <c r="P426" t="s">
        <v>112</v>
      </c>
      <c r="Q426" t="s">
        <v>199</v>
      </c>
      <c r="R426" t="s">
        <v>263</v>
      </c>
      <c r="S426" t="s">
        <v>1372</v>
      </c>
    </row>
    <row r="427" ht="55" customHeight="1" spans="1:19">
      <c r="A427" s="1" t="str">
        <f>_xlfn.DISPIMG("ID_805A9AFC8D374A22A324D5BCCFD21172",1)</f>
        <v>=DISPIMG("ID_805A9AFC8D374A22A324D5BCCFD21172",1)</v>
      </c>
      <c r="B427" t="s">
        <v>257</v>
      </c>
      <c r="C427" t="s">
        <v>367</v>
      </c>
      <c r="D427" t="s">
        <v>1341</v>
      </c>
      <c r="E427" t="s">
        <v>22</v>
      </c>
      <c r="F427" t="s">
        <v>51</v>
      </c>
      <c r="G427" t="s">
        <v>617</v>
      </c>
      <c r="H427" t="s">
        <v>22</v>
      </c>
      <c r="I427" t="s">
        <v>25</v>
      </c>
      <c r="J427" t="s">
        <v>26</v>
      </c>
      <c r="K427" t="s">
        <v>27</v>
      </c>
      <c r="L427" t="s">
        <v>74</v>
      </c>
      <c r="M427" t="s">
        <v>29</v>
      </c>
      <c r="N427" t="s">
        <v>30</v>
      </c>
      <c r="O427" t="s">
        <v>31</v>
      </c>
      <c r="P427" t="s">
        <v>722</v>
      </c>
      <c r="Q427" t="s">
        <v>183</v>
      </c>
      <c r="R427" t="s">
        <v>1373</v>
      </c>
      <c r="S427" t="s">
        <v>1374</v>
      </c>
    </row>
    <row r="428" ht="55" customHeight="1" spans="1:19">
      <c r="A428" s="1" t="str">
        <f>_xlfn.DISPIMG("ID_3D9525842F1C4A9BA93ACC13DC9F4E6C",1)</f>
        <v>=DISPIMG("ID_3D9525842F1C4A9BA93ACC13DC9F4E6C",1)</v>
      </c>
      <c r="B428" t="s">
        <v>242</v>
      </c>
      <c r="C428" t="s">
        <v>289</v>
      </c>
      <c r="D428" t="s">
        <v>244</v>
      </c>
      <c r="E428" t="s">
        <v>164</v>
      </c>
      <c r="F428" t="s">
        <v>245</v>
      </c>
      <c r="G428" t="s">
        <v>41</v>
      </c>
      <c r="H428" t="s">
        <v>164</v>
      </c>
      <c r="I428" t="s">
        <v>165</v>
      </c>
      <c r="J428" t="s">
        <v>26</v>
      </c>
      <c r="K428" t="s">
        <v>27</v>
      </c>
      <c r="L428" t="s">
        <v>231</v>
      </c>
      <c r="M428" t="s">
        <v>93</v>
      </c>
      <c r="N428" t="s">
        <v>30</v>
      </c>
      <c r="O428" t="s">
        <v>31</v>
      </c>
      <c r="P428" t="s">
        <v>112</v>
      </c>
      <c r="Q428" t="s">
        <v>55</v>
      </c>
      <c r="R428" t="s">
        <v>249</v>
      </c>
      <c r="S428" t="s">
        <v>1375</v>
      </c>
    </row>
    <row r="429" ht="55" customHeight="1" spans="1:19">
      <c r="A429" s="1" t="str">
        <f>_xlfn.DISPIMG("ID_2216D9512F2F4775A6E0E232C59141EB",1)</f>
        <v>=DISPIMG("ID_2216D9512F2F4775A6E0E232C59141EB",1)</v>
      </c>
      <c r="B429" t="s">
        <v>1376</v>
      </c>
      <c r="C429" t="s">
        <v>59</v>
      </c>
      <c r="D429" t="s">
        <v>279</v>
      </c>
      <c r="E429" t="s">
        <v>164</v>
      </c>
      <c r="F429" t="s">
        <v>40</v>
      </c>
      <c r="G429" t="s">
        <v>449</v>
      </c>
      <c r="H429" t="s">
        <v>164</v>
      </c>
      <c r="I429" t="s">
        <v>25</v>
      </c>
      <c r="J429" t="s">
        <v>26</v>
      </c>
      <c r="K429" t="s">
        <v>27</v>
      </c>
      <c r="L429" t="s">
        <v>28</v>
      </c>
      <c r="M429" t="s">
        <v>29</v>
      </c>
      <c r="N429" t="s">
        <v>30</v>
      </c>
      <c r="O429" t="s">
        <v>31</v>
      </c>
      <c r="P429" t="s">
        <v>138</v>
      </c>
      <c r="Q429" t="s">
        <v>66</v>
      </c>
      <c r="R429" t="s">
        <v>263</v>
      </c>
      <c r="S429" t="s">
        <v>1377</v>
      </c>
    </row>
    <row r="430" ht="55" customHeight="1" spans="1:19">
      <c r="A430" s="1" t="str">
        <f>_xlfn.DISPIMG("ID_67E92E8A18D0498CA2D66CBB643793EB",1)</f>
        <v>=DISPIMG("ID_67E92E8A18D0498CA2D66CBB643793EB",1)</v>
      </c>
      <c r="B430" t="s">
        <v>170</v>
      </c>
      <c r="C430" t="s">
        <v>823</v>
      </c>
      <c r="D430" t="s">
        <v>887</v>
      </c>
      <c r="E430" t="s">
        <v>461</v>
      </c>
      <c r="F430" t="s">
        <v>173</v>
      </c>
      <c r="G430" t="s">
        <v>1378</v>
      </c>
      <c r="H430" t="s">
        <v>461</v>
      </c>
      <c r="I430" t="s">
        <v>175</v>
      </c>
      <c r="J430" t="s">
        <v>26</v>
      </c>
      <c r="K430" t="s">
        <v>27</v>
      </c>
      <c r="L430" t="s">
        <v>748</v>
      </c>
      <c r="M430" t="s">
        <v>93</v>
      </c>
      <c r="N430" t="s">
        <v>64</v>
      </c>
      <c r="O430" t="s">
        <v>31</v>
      </c>
      <c r="P430" t="s">
        <v>75</v>
      </c>
      <c r="Q430" t="s">
        <v>292</v>
      </c>
      <c r="R430" t="s">
        <v>147</v>
      </c>
      <c r="S430" t="s">
        <v>1379</v>
      </c>
    </row>
    <row r="431" ht="55" customHeight="1" spans="1:19">
      <c r="A431" s="1" t="str">
        <f>_xlfn.DISPIMG("ID_9AEB8AD5180B4700A3113367A9112DAA",1)</f>
        <v>=DISPIMG("ID_9AEB8AD5180B4700A3113367A9112DAA",1)</v>
      </c>
      <c r="B431" t="s">
        <v>571</v>
      </c>
      <c r="C431" t="s">
        <v>1380</v>
      </c>
      <c r="D431" t="s">
        <v>750</v>
      </c>
      <c r="E431" t="s">
        <v>316</v>
      </c>
      <c r="F431" t="s">
        <v>91</v>
      </c>
      <c r="G431" t="s">
        <v>1381</v>
      </c>
      <c r="H431" t="s">
        <v>486</v>
      </c>
      <c r="I431" t="s">
        <v>175</v>
      </c>
      <c r="J431" t="s">
        <v>26</v>
      </c>
      <c r="K431" t="s">
        <v>27</v>
      </c>
      <c r="L431" t="s">
        <v>28</v>
      </c>
      <c r="M431" t="s">
        <v>93</v>
      </c>
      <c r="N431" t="s">
        <v>30</v>
      </c>
      <c r="O431" t="s">
        <v>31</v>
      </c>
      <c r="P431" t="s">
        <v>182</v>
      </c>
      <c r="Q431" t="s">
        <v>858</v>
      </c>
      <c r="R431" t="s">
        <v>147</v>
      </c>
      <c r="S431" t="s">
        <v>1382</v>
      </c>
    </row>
    <row r="432" ht="55" customHeight="1" spans="1:19">
      <c r="A432" s="1" t="str">
        <f>_xlfn.DISPIMG("ID_B4AB695432BC4DD790A327EBBBAABB0F",1)</f>
        <v>=DISPIMG("ID_B4AB695432BC4DD790A327EBBBAABB0F",1)</v>
      </c>
      <c r="B432" t="s">
        <v>282</v>
      </c>
      <c r="C432" t="s">
        <v>382</v>
      </c>
      <c r="D432" t="s">
        <v>143</v>
      </c>
      <c r="E432" t="s">
        <v>144</v>
      </c>
      <c r="F432" t="s">
        <v>40</v>
      </c>
      <c r="G432" t="s">
        <v>1207</v>
      </c>
      <c r="H432" t="s">
        <v>144</v>
      </c>
      <c r="I432" t="s">
        <v>42</v>
      </c>
      <c r="J432" t="s">
        <v>26</v>
      </c>
      <c r="K432" t="s">
        <v>27</v>
      </c>
      <c r="L432" t="s">
        <v>74</v>
      </c>
      <c r="M432" t="s">
        <v>29</v>
      </c>
      <c r="N432" t="s">
        <v>30</v>
      </c>
      <c r="O432" t="s">
        <v>31</v>
      </c>
      <c r="P432" t="s">
        <v>146</v>
      </c>
      <c r="Q432" t="s">
        <v>190</v>
      </c>
      <c r="R432" t="s">
        <v>45</v>
      </c>
      <c r="S432" t="s">
        <v>1383</v>
      </c>
    </row>
    <row r="433" ht="55" customHeight="1" spans="1:19">
      <c r="A433" s="1" t="str">
        <f>_xlfn.DISPIMG("ID_19D7E5C63ACF43D3A9366CAA16099977",1)</f>
        <v>=DISPIMG("ID_19D7E5C63ACF43D3A9366CAA16099977",1)</v>
      </c>
      <c r="B433" t="s">
        <v>265</v>
      </c>
      <c r="C433" t="s">
        <v>548</v>
      </c>
      <c r="D433" t="s">
        <v>60</v>
      </c>
      <c r="E433" t="s">
        <v>61</v>
      </c>
      <c r="F433" t="s">
        <v>51</v>
      </c>
      <c r="G433" t="s">
        <v>665</v>
      </c>
      <c r="H433" t="s">
        <v>63</v>
      </c>
      <c r="I433" t="s">
        <v>25</v>
      </c>
      <c r="J433" t="s">
        <v>26</v>
      </c>
      <c r="K433" t="s">
        <v>27</v>
      </c>
      <c r="L433" t="s">
        <v>74</v>
      </c>
      <c r="M433" t="s">
        <v>29</v>
      </c>
      <c r="N433" t="s">
        <v>30</v>
      </c>
      <c r="O433" t="s">
        <v>31</v>
      </c>
      <c r="P433" t="s">
        <v>75</v>
      </c>
      <c r="Q433" t="s">
        <v>369</v>
      </c>
      <c r="R433" t="s">
        <v>270</v>
      </c>
      <c r="S433" t="s">
        <v>1384</v>
      </c>
    </row>
    <row r="434" ht="55" customHeight="1" spans="1:19">
      <c r="A434" s="1" t="str">
        <f>_xlfn.DISPIMG("ID_B3364242CB73423EAB13617681409E71",1)</f>
        <v>=DISPIMG("ID_B3364242CB73423EAB13617681409E71",1)</v>
      </c>
      <c r="B434" t="s">
        <v>242</v>
      </c>
      <c r="C434" t="s">
        <v>648</v>
      </c>
      <c r="D434" t="s">
        <v>244</v>
      </c>
      <c r="E434" t="s">
        <v>659</v>
      </c>
      <c r="F434" t="s">
        <v>245</v>
      </c>
      <c r="G434" t="s">
        <v>246</v>
      </c>
      <c r="H434" t="s">
        <v>659</v>
      </c>
      <c r="I434" t="s">
        <v>165</v>
      </c>
      <c r="J434" t="s">
        <v>26</v>
      </c>
      <c r="K434" t="s">
        <v>27</v>
      </c>
      <c r="L434" t="s">
        <v>231</v>
      </c>
      <c r="M434" t="s">
        <v>93</v>
      </c>
      <c r="N434" t="s">
        <v>30</v>
      </c>
      <c r="O434" t="s">
        <v>31</v>
      </c>
      <c r="P434" t="s">
        <v>128</v>
      </c>
      <c r="Q434" t="s">
        <v>297</v>
      </c>
      <c r="R434" t="s">
        <v>249</v>
      </c>
      <c r="S434" t="s">
        <v>1385</v>
      </c>
    </row>
    <row r="435" ht="55" customHeight="1" spans="1:19">
      <c r="A435" s="1" t="str">
        <f>_xlfn.DISPIMG("ID_9483DE536B23410F823924EC6D17B7FD",1)</f>
        <v>=DISPIMG("ID_9483DE536B23410F823924EC6D17B7FD",1)</v>
      </c>
      <c r="B435" t="s">
        <v>236</v>
      </c>
      <c r="C435" t="s">
        <v>760</v>
      </c>
      <c r="D435" t="s">
        <v>644</v>
      </c>
      <c r="E435" t="s">
        <v>328</v>
      </c>
      <c r="F435" t="s">
        <v>51</v>
      </c>
      <c r="G435" t="s">
        <v>431</v>
      </c>
      <c r="H435" t="s">
        <v>119</v>
      </c>
      <c r="I435" t="s">
        <v>42</v>
      </c>
      <c r="J435" t="s">
        <v>26</v>
      </c>
      <c r="K435" t="s">
        <v>27</v>
      </c>
      <c r="L435" t="s">
        <v>28</v>
      </c>
      <c r="M435" t="s">
        <v>29</v>
      </c>
      <c r="N435" t="s">
        <v>64</v>
      </c>
      <c r="O435" t="s">
        <v>31</v>
      </c>
      <c r="P435" t="s">
        <v>1386</v>
      </c>
      <c r="Q435" t="s">
        <v>85</v>
      </c>
      <c r="R435" t="s">
        <v>104</v>
      </c>
      <c r="S435" t="s">
        <v>1387</v>
      </c>
    </row>
    <row r="436" ht="55" customHeight="1" spans="1:19">
      <c r="A436" s="1" t="str">
        <f>_xlfn.DISPIMG("ID_1F094A6393F142938AD22628E7C06512",1)</f>
        <v>=DISPIMG("ID_1F094A6393F142938AD22628E7C06512",1)</v>
      </c>
      <c r="B436" t="s">
        <v>1317</v>
      </c>
      <c r="C436" t="s">
        <v>1388</v>
      </c>
      <c r="D436" t="s">
        <v>349</v>
      </c>
      <c r="E436" t="s">
        <v>84</v>
      </c>
      <c r="F436" t="s">
        <v>91</v>
      </c>
      <c r="G436" t="s">
        <v>582</v>
      </c>
      <c r="H436" t="s">
        <v>84</v>
      </c>
      <c r="I436" t="s">
        <v>175</v>
      </c>
      <c r="J436" t="s">
        <v>26</v>
      </c>
      <c r="K436" t="s">
        <v>27</v>
      </c>
      <c r="L436" t="s">
        <v>231</v>
      </c>
      <c r="M436" t="s">
        <v>93</v>
      </c>
      <c r="N436" t="s">
        <v>30</v>
      </c>
      <c r="O436" t="s">
        <v>31</v>
      </c>
      <c r="P436" t="s">
        <v>285</v>
      </c>
      <c r="Q436" t="s">
        <v>76</v>
      </c>
      <c r="R436" t="s">
        <v>191</v>
      </c>
      <c r="S436" t="s">
        <v>1389</v>
      </c>
    </row>
    <row r="437" ht="55" customHeight="1" spans="1:19">
      <c r="A437" s="1" t="str">
        <f>_xlfn.DISPIMG("ID_9B0C1E0114404E63BD421165271945FE",1)</f>
        <v>=DISPIMG("ID_9B0C1E0114404E63BD421165271945FE",1)</v>
      </c>
      <c r="B437" t="s">
        <v>149</v>
      </c>
      <c r="C437" t="s">
        <v>1390</v>
      </c>
      <c r="D437" t="s">
        <v>1391</v>
      </c>
      <c r="E437" t="s">
        <v>72</v>
      </c>
      <c r="F437" t="s">
        <v>51</v>
      </c>
      <c r="G437" t="s">
        <v>835</v>
      </c>
      <c r="H437" t="s">
        <v>72</v>
      </c>
      <c r="I437" t="s">
        <v>25</v>
      </c>
      <c r="J437" t="s">
        <v>26</v>
      </c>
      <c r="K437" t="s">
        <v>27</v>
      </c>
      <c r="L437" t="s">
        <v>74</v>
      </c>
      <c r="M437" t="s">
        <v>29</v>
      </c>
      <c r="N437" t="s">
        <v>30</v>
      </c>
      <c r="O437" t="s">
        <v>153</v>
      </c>
      <c r="P437" t="s">
        <v>301</v>
      </c>
      <c r="Q437" t="s">
        <v>55</v>
      </c>
      <c r="R437" t="s">
        <v>156</v>
      </c>
      <c r="S437" t="s">
        <v>1392</v>
      </c>
    </row>
    <row r="438" ht="55" customHeight="1" spans="1:19">
      <c r="A438" s="1" t="str">
        <f>_xlfn.DISPIMG("ID_94A0BBD0B2354422A3CFF7B5CB5BF818",1)</f>
        <v>=DISPIMG("ID_94A0BBD0B2354422A3CFF7B5CB5BF818",1)</v>
      </c>
      <c r="B438" t="s">
        <v>1324</v>
      </c>
      <c r="C438" t="s">
        <v>1239</v>
      </c>
      <c r="D438" t="s">
        <v>1170</v>
      </c>
      <c r="E438" t="s">
        <v>573</v>
      </c>
      <c r="F438" t="s">
        <v>401</v>
      </c>
      <c r="G438" t="s">
        <v>495</v>
      </c>
      <c r="H438" t="s">
        <v>211</v>
      </c>
      <c r="I438" t="s">
        <v>175</v>
      </c>
      <c r="J438" t="s">
        <v>26</v>
      </c>
      <c r="K438" t="s">
        <v>27</v>
      </c>
      <c r="L438" t="s">
        <v>28</v>
      </c>
      <c r="M438" t="s">
        <v>403</v>
      </c>
      <c r="N438" t="s">
        <v>30</v>
      </c>
      <c r="O438" t="s">
        <v>404</v>
      </c>
      <c r="P438" t="s">
        <v>285</v>
      </c>
      <c r="Q438" t="s">
        <v>85</v>
      </c>
      <c r="R438" t="s">
        <v>324</v>
      </c>
      <c r="S438" t="s">
        <v>1393</v>
      </c>
    </row>
    <row r="439" ht="55" customHeight="1" spans="1:19">
      <c r="A439" s="1" t="str">
        <f>_xlfn.DISPIMG("ID_182A422EAC51494A9893F1C8A0D2FAD3",1)</f>
        <v>=DISPIMG("ID_182A422EAC51494A9893F1C8A0D2FAD3",1)</v>
      </c>
      <c r="B439" t="s">
        <v>242</v>
      </c>
      <c r="C439" t="s">
        <v>1394</v>
      </c>
      <c r="D439" t="s">
        <v>466</v>
      </c>
      <c r="E439" t="s">
        <v>50</v>
      </c>
      <c r="F439" t="s">
        <v>245</v>
      </c>
      <c r="G439" t="s">
        <v>300</v>
      </c>
      <c r="H439" t="s">
        <v>50</v>
      </c>
      <c r="I439" t="s">
        <v>165</v>
      </c>
      <c r="J439" t="s">
        <v>26</v>
      </c>
      <c r="K439" t="s">
        <v>27</v>
      </c>
      <c r="L439" t="s">
        <v>557</v>
      </c>
      <c r="M439" t="s">
        <v>93</v>
      </c>
      <c r="N439" t="s">
        <v>30</v>
      </c>
      <c r="O439" t="s">
        <v>31</v>
      </c>
      <c r="P439" t="s">
        <v>75</v>
      </c>
      <c r="Q439" t="s">
        <v>292</v>
      </c>
      <c r="R439" t="s">
        <v>249</v>
      </c>
      <c r="S439" t="s">
        <v>1395</v>
      </c>
    </row>
    <row r="440" ht="55" customHeight="1" spans="1:19">
      <c r="A440" s="1" t="str">
        <f>_xlfn.DISPIMG("ID_E68C7C0F90884624ADF343C6B5AA44AB",1)</f>
        <v>=DISPIMG("ID_E68C7C0F90884624ADF343C6B5AA44AB",1)</v>
      </c>
      <c r="B440" t="s">
        <v>282</v>
      </c>
      <c r="C440" t="s">
        <v>564</v>
      </c>
      <c r="D440" t="s">
        <v>349</v>
      </c>
      <c r="E440" t="s">
        <v>461</v>
      </c>
      <c r="F440" t="s">
        <v>40</v>
      </c>
      <c r="G440" t="s">
        <v>582</v>
      </c>
      <c r="H440" t="s">
        <v>461</v>
      </c>
      <c r="I440" t="s">
        <v>42</v>
      </c>
      <c r="J440" t="s">
        <v>26</v>
      </c>
      <c r="K440" t="s">
        <v>27</v>
      </c>
      <c r="L440" t="s">
        <v>28</v>
      </c>
      <c r="M440" t="s">
        <v>29</v>
      </c>
      <c r="N440" t="s">
        <v>30</v>
      </c>
      <c r="O440" t="s">
        <v>31</v>
      </c>
      <c r="P440" t="s">
        <v>65</v>
      </c>
      <c r="Q440" t="s">
        <v>76</v>
      </c>
      <c r="R440" t="s">
        <v>45</v>
      </c>
      <c r="S440" t="s">
        <v>1396</v>
      </c>
    </row>
    <row r="441" ht="55" customHeight="1" spans="1:19">
      <c r="A441" s="1" t="str">
        <f>_xlfn.DISPIMG("ID_CDBC2ED12D484ED8AE73A363D8682B11",1)</f>
        <v>=DISPIMG("ID_CDBC2ED12D484ED8AE73A363D8682B11",1)</v>
      </c>
      <c r="B441" t="s">
        <v>257</v>
      </c>
      <c r="C441" t="s">
        <v>1397</v>
      </c>
      <c r="D441" t="s">
        <v>151</v>
      </c>
      <c r="E441" t="s">
        <v>63</v>
      </c>
      <c r="F441" t="s">
        <v>51</v>
      </c>
      <c r="G441" t="s">
        <v>174</v>
      </c>
      <c r="H441" t="s">
        <v>63</v>
      </c>
      <c r="I441" t="s">
        <v>25</v>
      </c>
      <c r="J441" t="s">
        <v>26</v>
      </c>
      <c r="K441" t="s">
        <v>27</v>
      </c>
      <c r="L441" t="s">
        <v>28</v>
      </c>
      <c r="M441" t="s">
        <v>29</v>
      </c>
      <c r="N441" t="s">
        <v>30</v>
      </c>
      <c r="O441" t="s">
        <v>31</v>
      </c>
      <c r="P441" t="s">
        <v>75</v>
      </c>
      <c r="Q441" t="s">
        <v>255</v>
      </c>
      <c r="R441" t="s">
        <v>263</v>
      </c>
      <c r="S441" t="s">
        <v>1398</v>
      </c>
    </row>
    <row r="442" ht="55" customHeight="1" spans="1:19">
      <c r="A442" s="1" t="str">
        <f>_xlfn.DISPIMG("ID_4CD0DE0EB5EA4496A128239BD177BA52",1)</f>
        <v>=DISPIMG("ID_4CD0DE0EB5EA4496A128239BD177BA52",1)</v>
      </c>
      <c r="B442" t="s">
        <v>36</v>
      </c>
      <c r="C442" t="s">
        <v>933</v>
      </c>
      <c r="D442" t="s">
        <v>973</v>
      </c>
      <c r="E442" t="s">
        <v>61</v>
      </c>
      <c r="F442" t="s">
        <v>40</v>
      </c>
      <c r="G442" t="s">
        <v>92</v>
      </c>
      <c r="H442" t="s">
        <v>63</v>
      </c>
      <c r="I442" t="s">
        <v>42</v>
      </c>
      <c r="J442" t="s">
        <v>26</v>
      </c>
      <c r="K442" t="s">
        <v>27</v>
      </c>
      <c r="L442" t="s">
        <v>74</v>
      </c>
      <c r="M442" t="s">
        <v>29</v>
      </c>
      <c r="N442" t="s">
        <v>30</v>
      </c>
      <c r="O442" t="s">
        <v>31</v>
      </c>
      <c r="P442" t="s">
        <v>65</v>
      </c>
      <c r="Q442" t="s">
        <v>352</v>
      </c>
      <c r="R442" t="s">
        <v>45</v>
      </c>
      <c r="S442" t="s">
        <v>1399</v>
      </c>
    </row>
    <row r="443" ht="55" customHeight="1" spans="1:19">
      <c r="A443" s="1" t="str">
        <f>_xlfn.DISPIMG("ID_A9FF9017CB2D4870B0B1A50C6EDA91FB",1)</f>
        <v>=DISPIMG("ID_A9FF9017CB2D4870B0B1A50C6EDA91FB",1)</v>
      </c>
      <c r="B443" t="s">
        <v>201</v>
      </c>
      <c r="C443" t="s">
        <v>1400</v>
      </c>
      <c r="D443" t="s">
        <v>38</v>
      </c>
      <c r="E443" t="s">
        <v>39</v>
      </c>
      <c r="F443" t="s">
        <v>40</v>
      </c>
      <c r="G443" t="s">
        <v>350</v>
      </c>
      <c r="H443" t="s">
        <v>39</v>
      </c>
      <c r="I443" t="s">
        <v>42</v>
      </c>
      <c r="J443" t="s">
        <v>26</v>
      </c>
      <c r="K443" t="s">
        <v>27</v>
      </c>
      <c r="L443" t="s">
        <v>28</v>
      </c>
      <c r="M443" t="s">
        <v>29</v>
      </c>
      <c r="N443" t="s">
        <v>64</v>
      </c>
      <c r="O443" t="s">
        <v>31</v>
      </c>
      <c r="P443" t="s">
        <v>414</v>
      </c>
      <c r="Q443" t="s">
        <v>427</v>
      </c>
      <c r="R443" t="s">
        <v>86</v>
      </c>
      <c r="S443" t="s">
        <v>1401</v>
      </c>
    </row>
    <row r="444" ht="55" customHeight="1" spans="1:19">
      <c r="A444" s="1" t="str">
        <f>_xlfn.DISPIMG("ID_B81020DAE5D1424489731B7387F491DB",1)</f>
        <v>=DISPIMG("ID_B81020DAE5D1424489731B7387F491DB",1)</v>
      </c>
      <c r="B444" t="s">
        <v>242</v>
      </c>
      <c r="C444" t="s">
        <v>1402</v>
      </c>
      <c r="D444" t="s">
        <v>466</v>
      </c>
      <c r="E444" t="s">
        <v>50</v>
      </c>
      <c r="F444" t="s">
        <v>245</v>
      </c>
      <c r="G444" t="s">
        <v>41</v>
      </c>
      <c r="H444" t="s">
        <v>50</v>
      </c>
      <c r="I444" t="s">
        <v>165</v>
      </c>
      <c r="J444" t="s">
        <v>26</v>
      </c>
      <c r="K444" t="s">
        <v>27</v>
      </c>
      <c r="L444" t="s">
        <v>28</v>
      </c>
      <c r="M444" t="s">
        <v>93</v>
      </c>
      <c r="N444" t="s">
        <v>30</v>
      </c>
      <c r="O444" t="s">
        <v>31</v>
      </c>
      <c r="P444" t="s">
        <v>285</v>
      </c>
      <c r="Q444" t="s">
        <v>725</v>
      </c>
      <c r="R444" t="s">
        <v>249</v>
      </c>
      <c r="S444" t="s">
        <v>1403</v>
      </c>
    </row>
    <row r="445" ht="55" customHeight="1" spans="1:19">
      <c r="A445" s="1" t="str">
        <f>_xlfn.DISPIMG("ID_29BF02C889264FD58EE862BC75E59053",1)</f>
        <v>=DISPIMG("ID_29BF02C889264FD58EE862BC75E59053",1)</v>
      </c>
      <c r="B445" t="s">
        <v>242</v>
      </c>
      <c r="C445" t="s">
        <v>1404</v>
      </c>
      <c r="D445" t="s">
        <v>435</v>
      </c>
      <c r="E445" t="s">
        <v>63</v>
      </c>
      <c r="F445" t="s">
        <v>245</v>
      </c>
      <c r="G445" t="s">
        <v>606</v>
      </c>
      <c r="H445" t="s">
        <v>63</v>
      </c>
      <c r="I445" t="s">
        <v>165</v>
      </c>
      <c r="J445" t="s">
        <v>26</v>
      </c>
      <c r="K445" t="s">
        <v>27</v>
      </c>
      <c r="L445" t="s">
        <v>28</v>
      </c>
      <c r="M445" t="s">
        <v>93</v>
      </c>
      <c r="N445" t="s">
        <v>30</v>
      </c>
      <c r="O445" t="s">
        <v>31</v>
      </c>
      <c r="P445" t="s">
        <v>54</v>
      </c>
      <c r="Q445" t="s">
        <v>183</v>
      </c>
      <c r="R445" t="s">
        <v>249</v>
      </c>
      <c r="S445" t="s">
        <v>1405</v>
      </c>
    </row>
    <row r="446" ht="55" customHeight="1" spans="1:19">
      <c r="A446" s="1" t="str">
        <f>_xlfn.DISPIMG("ID_D3EC8612ECD8433894357E3FCF9E4430",1)</f>
        <v>=DISPIMG("ID_D3EC8612ECD8433894357E3FCF9E4430",1)</v>
      </c>
      <c r="B446" t="s">
        <v>406</v>
      </c>
      <c r="C446" t="s">
        <v>1406</v>
      </c>
      <c r="D446" t="s">
        <v>327</v>
      </c>
      <c r="E446" t="s">
        <v>328</v>
      </c>
      <c r="F446" t="s">
        <v>40</v>
      </c>
      <c r="G446" t="s">
        <v>1407</v>
      </c>
      <c r="H446" t="s">
        <v>119</v>
      </c>
      <c r="I446" t="s">
        <v>42</v>
      </c>
      <c r="J446" t="s">
        <v>26</v>
      </c>
      <c r="K446" t="s">
        <v>27</v>
      </c>
      <c r="L446" t="s">
        <v>53</v>
      </c>
      <c r="M446" t="s">
        <v>29</v>
      </c>
      <c r="N446" t="s">
        <v>30</v>
      </c>
      <c r="O446" t="s">
        <v>31</v>
      </c>
      <c r="P446" t="s">
        <v>65</v>
      </c>
      <c r="Q446" t="s">
        <v>76</v>
      </c>
      <c r="R446" t="s">
        <v>409</v>
      </c>
      <c r="S446" t="s">
        <v>1408</v>
      </c>
    </row>
    <row r="447" ht="55" customHeight="1" spans="1:19">
      <c r="A447" s="1" t="str">
        <f>_xlfn.DISPIMG("ID_C1E358D75DE84DA18BD6955F6E73AA17",1)</f>
        <v>=DISPIMG("ID_C1E358D75DE84DA18BD6955F6E73AA17",1)</v>
      </c>
      <c r="B447" t="s">
        <v>366</v>
      </c>
      <c r="C447" t="s">
        <v>1409</v>
      </c>
      <c r="D447" t="s">
        <v>244</v>
      </c>
      <c r="E447" t="s">
        <v>659</v>
      </c>
      <c r="F447" t="s">
        <v>245</v>
      </c>
      <c r="G447" t="s">
        <v>296</v>
      </c>
      <c r="H447" t="s">
        <v>659</v>
      </c>
      <c r="I447" t="s">
        <v>165</v>
      </c>
      <c r="J447" t="s">
        <v>26</v>
      </c>
      <c r="K447" t="s">
        <v>27</v>
      </c>
      <c r="L447" t="s">
        <v>28</v>
      </c>
      <c r="M447" t="s">
        <v>93</v>
      </c>
      <c r="N447" t="s">
        <v>30</v>
      </c>
      <c r="O447" t="s">
        <v>31</v>
      </c>
      <c r="P447" t="s">
        <v>221</v>
      </c>
      <c r="Q447" t="s">
        <v>297</v>
      </c>
      <c r="R447" t="s">
        <v>249</v>
      </c>
      <c r="S447" t="s">
        <v>1410</v>
      </c>
    </row>
    <row r="448" ht="55" customHeight="1" spans="1:19">
      <c r="A448" s="1" t="str">
        <f>_xlfn.DISPIMG("ID_6F8D54B364F04DEEABC37E3D757DA87E",1)</f>
        <v>=DISPIMG("ID_6F8D54B364F04DEEABC37E3D757DA87E",1)</v>
      </c>
      <c r="B448" t="s">
        <v>257</v>
      </c>
      <c r="C448" t="s">
        <v>560</v>
      </c>
      <c r="D448" t="s">
        <v>151</v>
      </c>
      <c r="E448" t="s">
        <v>63</v>
      </c>
      <c r="F448" t="s">
        <v>51</v>
      </c>
      <c r="G448" t="s">
        <v>402</v>
      </c>
      <c r="H448" t="s">
        <v>238</v>
      </c>
      <c r="I448" t="s">
        <v>25</v>
      </c>
      <c r="J448" t="s">
        <v>26</v>
      </c>
      <c r="K448" t="s">
        <v>27</v>
      </c>
      <c r="L448" t="s">
        <v>53</v>
      </c>
      <c r="M448" t="s">
        <v>29</v>
      </c>
      <c r="N448" t="s">
        <v>64</v>
      </c>
      <c r="O448" t="s">
        <v>31</v>
      </c>
      <c r="P448" t="s">
        <v>112</v>
      </c>
      <c r="Q448" t="s">
        <v>76</v>
      </c>
      <c r="R448" t="s">
        <v>1411</v>
      </c>
      <c r="S448" t="s">
        <v>1412</v>
      </c>
    </row>
    <row r="449" ht="55" customHeight="1" spans="1:19">
      <c r="A449" s="1" t="str">
        <f>_xlfn.DISPIMG("ID_E1C0BF2E30AB4686A1C8FB6AAC88DD83",1)</f>
        <v>=DISPIMG("ID_E1C0BF2E30AB4686A1C8FB6AAC88DD83",1)</v>
      </c>
      <c r="B449" t="s">
        <v>158</v>
      </c>
      <c r="C449" t="s">
        <v>1413</v>
      </c>
      <c r="D449" t="s">
        <v>506</v>
      </c>
      <c r="E449" t="s">
        <v>507</v>
      </c>
      <c r="F449" t="s">
        <v>162</v>
      </c>
      <c r="G449" t="s">
        <v>1414</v>
      </c>
      <c r="H449" t="s">
        <v>135</v>
      </c>
      <c r="I449" t="s">
        <v>165</v>
      </c>
      <c r="J449" t="s">
        <v>26</v>
      </c>
      <c r="K449" t="s">
        <v>27</v>
      </c>
      <c r="L449" t="s">
        <v>28</v>
      </c>
      <c r="M449" t="s">
        <v>166</v>
      </c>
      <c r="N449" t="s">
        <v>30</v>
      </c>
      <c r="O449" t="s">
        <v>31</v>
      </c>
      <c r="P449" t="s">
        <v>65</v>
      </c>
      <c r="Q449" t="s">
        <v>297</v>
      </c>
      <c r="R449" t="s">
        <v>168</v>
      </c>
      <c r="S449" t="s">
        <v>1415</v>
      </c>
    </row>
    <row r="450" ht="55" customHeight="1" spans="1:19">
      <c r="A450" s="1" t="str">
        <f>_xlfn.DISPIMG("ID_DF93F7D8931444E7BA9EC08039F95B24",1)</f>
        <v>=DISPIMG("ID_DF93F7D8931444E7BA9EC08039F95B24",1)</v>
      </c>
      <c r="B450" t="s">
        <v>214</v>
      </c>
      <c r="C450" t="s">
        <v>1169</v>
      </c>
      <c r="D450" t="s">
        <v>71</v>
      </c>
      <c r="E450" t="s">
        <v>72</v>
      </c>
      <c r="F450" t="s">
        <v>91</v>
      </c>
      <c r="G450" t="s">
        <v>744</v>
      </c>
      <c r="H450" t="s">
        <v>72</v>
      </c>
      <c r="I450" t="s">
        <v>137</v>
      </c>
      <c r="J450" t="s">
        <v>26</v>
      </c>
      <c r="K450" t="s">
        <v>27</v>
      </c>
      <c r="L450" t="s">
        <v>28</v>
      </c>
      <c r="M450" t="s">
        <v>93</v>
      </c>
      <c r="N450" t="s">
        <v>30</v>
      </c>
      <c r="O450" t="s">
        <v>31</v>
      </c>
      <c r="P450" t="s">
        <v>65</v>
      </c>
      <c r="Q450" t="s">
        <v>468</v>
      </c>
      <c r="R450" t="s">
        <v>191</v>
      </c>
      <c r="S450" t="s">
        <v>1416</v>
      </c>
    </row>
    <row r="451" ht="55" customHeight="1" spans="1:19">
      <c r="A451" s="1" t="str">
        <f>_xlfn.DISPIMG("ID_1E87D5836AFC4F7E86809DD18679212C",1)</f>
        <v>=DISPIMG("ID_1E87D5836AFC4F7E86809DD18679212C",1)</v>
      </c>
      <c r="B451" t="s">
        <v>1355</v>
      </c>
      <c r="C451" t="s">
        <v>1222</v>
      </c>
      <c r="D451" t="s">
        <v>669</v>
      </c>
      <c r="E451" t="s">
        <v>119</v>
      </c>
      <c r="F451" t="s">
        <v>23</v>
      </c>
      <c r="G451" t="s">
        <v>24</v>
      </c>
      <c r="H451" t="s">
        <v>119</v>
      </c>
      <c r="I451" t="s">
        <v>175</v>
      </c>
      <c r="J451" t="s">
        <v>26</v>
      </c>
      <c r="K451" t="s">
        <v>27</v>
      </c>
      <c r="L451" t="s">
        <v>28</v>
      </c>
      <c r="M451" t="s">
        <v>29</v>
      </c>
      <c r="N451" t="s">
        <v>30</v>
      </c>
      <c r="O451" t="s">
        <v>31</v>
      </c>
      <c r="P451" t="s">
        <v>221</v>
      </c>
      <c r="Q451" t="s">
        <v>103</v>
      </c>
      <c r="R451" t="s">
        <v>1357</v>
      </c>
      <c r="S451" t="s">
        <v>1417</v>
      </c>
    </row>
    <row r="452" ht="55" customHeight="1" spans="1:19">
      <c r="A452" s="1" t="str">
        <f>_xlfn.DISPIMG("ID_79E78E1D7B0F4DCA8FDEA7DF7B23D8E7",1)</f>
        <v>=DISPIMG("ID_79E78E1D7B0F4DCA8FDEA7DF7B23D8E7",1)</v>
      </c>
      <c r="B452" t="s">
        <v>947</v>
      </c>
      <c r="C452" t="s">
        <v>372</v>
      </c>
      <c r="D452" t="s">
        <v>259</v>
      </c>
      <c r="E452" t="s">
        <v>63</v>
      </c>
      <c r="F452" t="s">
        <v>162</v>
      </c>
      <c r="G452" t="s">
        <v>317</v>
      </c>
      <c r="H452" t="s">
        <v>63</v>
      </c>
      <c r="I452" t="s">
        <v>175</v>
      </c>
      <c r="J452" t="s">
        <v>230</v>
      </c>
      <c r="K452" t="s">
        <v>27</v>
      </c>
      <c r="L452" t="s">
        <v>323</v>
      </c>
      <c r="M452" t="s">
        <v>166</v>
      </c>
      <c r="N452" t="s">
        <v>30</v>
      </c>
      <c r="O452" t="s">
        <v>31</v>
      </c>
      <c r="P452" t="s">
        <v>138</v>
      </c>
      <c r="Q452" t="s">
        <v>802</v>
      </c>
      <c r="R452" t="s">
        <v>949</v>
      </c>
      <c r="S452" t="s">
        <v>1418</v>
      </c>
    </row>
    <row r="453" ht="55" customHeight="1" spans="1:19">
      <c r="A453" s="1" t="str">
        <f>_xlfn.DISPIMG("ID_FA90E35146F04C1787A7CDA8F5AB6238",1)</f>
        <v>=DISPIMG("ID_FA90E35146F04C1787A7CDA8F5AB6238",1)</v>
      </c>
      <c r="B453" t="s">
        <v>626</v>
      </c>
      <c r="C453" t="s">
        <v>663</v>
      </c>
      <c r="D453" t="s">
        <v>789</v>
      </c>
      <c r="E453" t="s">
        <v>1419</v>
      </c>
      <c r="F453" t="s">
        <v>162</v>
      </c>
      <c r="G453" t="s">
        <v>174</v>
      </c>
      <c r="H453" t="s">
        <v>1419</v>
      </c>
      <c r="I453" t="s">
        <v>175</v>
      </c>
      <c r="J453" t="s">
        <v>26</v>
      </c>
      <c r="K453" t="s">
        <v>27</v>
      </c>
      <c r="L453" t="s">
        <v>329</v>
      </c>
      <c r="M453" t="s">
        <v>166</v>
      </c>
      <c r="N453" t="s">
        <v>30</v>
      </c>
      <c r="O453" t="s">
        <v>31</v>
      </c>
      <c r="P453" t="s">
        <v>1119</v>
      </c>
      <c r="Q453" t="s">
        <v>76</v>
      </c>
      <c r="R453" t="s">
        <v>147</v>
      </c>
      <c r="S453" t="s">
        <v>1420</v>
      </c>
    </row>
    <row r="454" ht="55" customHeight="1" spans="1:19">
      <c r="A454" s="1" t="str">
        <f>_xlfn.DISPIMG("ID_0C0D4D88795445738D53C9D71169F5DC",1)</f>
        <v>=DISPIMG("ID_0C0D4D88795445738D53C9D71169F5DC",1)</v>
      </c>
      <c r="B454" t="s">
        <v>158</v>
      </c>
      <c r="C454" t="s">
        <v>663</v>
      </c>
      <c r="D454" t="s">
        <v>695</v>
      </c>
      <c r="E454" t="s">
        <v>311</v>
      </c>
      <c r="F454" t="s">
        <v>162</v>
      </c>
      <c r="G454" t="s">
        <v>431</v>
      </c>
      <c r="H454" t="s">
        <v>39</v>
      </c>
      <c r="I454" t="s">
        <v>165</v>
      </c>
      <c r="J454" t="s">
        <v>26</v>
      </c>
      <c r="K454" t="s">
        <v>27</v>
      </c>
      <c r="L454" t="s">
        <v>28</v>
      </c>
      <c r="M454" t="s">
        <v>166</v>
      </c>
      <c r="N454" t="s">
        <v>30</v>
      </c>
      <c r="O454" t="s">
        <v>31</v>
      </c>
      <c r="P454" t="s">
        <v>138</v>
      </c>
      <c r="Q454" t="s">
        <v>76</v>
      </c>
      <c r="R454" t="s">
        <v>168</v>
      </c>
      <c r="S454" t="s">
        <v>1421</v>
      </c>
    </row>
    <row r="455" ht="55" customHeight="1" spans="1:19">
      <c r="A455" s="1" t="str">
        <f>_xlfn.DISPIMG("ID_4F6B4BCA1F14418A9767435F4B70FAFA",1)</f>
        <v>=DISPIMG("ID_4F6B4BCA1F14418A9767435F4B70FAFA",1)</v>
      </c>
      <c r="B455" t="s">
        <v>116</v>
      </c>
      <c r="C455" t="s">
        <v>391</v>
      </c>
      <c r="D455" t="s">
        <v>466</v>
      </c>
      <c r="E455" t="s">
        <v>50</v>
      </c>
      <c r="F455" t="s">
        <v>40</v>
      </c>
      <c r="G455" t="s">
        <v>246</v>
      </c>
      <c r="H455" t="s">
        <v>50</v>
      </c>
      <c r="I455" t="s">
        <v>42</v>
      </c>
      <c r="J455" t="s">
        <v>26</v>
      </c>
      <c r="K455" t="s">
        <v>27</v>
      </c>
      <c r="L455" t="s">
        <v>74</v>
      </c>
      <c r="M455" t="s">
        <v>29</v>
      </c>
      <c r="N455" t="s">
        <v>30</v>
      </c>
      <c r="O455" t="s">
        <v>31</v>
      </c>
      <c r="P455" t="s">
        <v>154</v>
      </c>
      <c r="Q455" t="s">
        <v>286</v>
      </c>
      <c r="R455" t="s">
        <v>45</v>
      </c>
      <c r="S455" t="s">
        <v>1422</v>
      </c>
    </row>
    <row r="456" ht="55" customHeight="1" spans="1:19">
      <c r="A456" s="1" t="str">
        <f>_xlfn.DISPIMG("ID_FC6D0EDBB92F4BFFADA1A53C30CCC5E9",1)</f>
        <v>=DISPIMG("ID_FC6D0EDBB92F4BFFADA1A53C30CCC5E9",1)</v>
      </c>
      <c r="B456" t="s">
        <v>242</v>
      </c>
      <c r="C456" t="s">
        <v>374</v>
      </c>
      <c r="D456" t="s">
        <v>375</v>
      </c>
      <c r="E456" t="s">
        <v>486</v>
      </c>
      <c r="F456" t="s">
        <v>245</v>
      </c>
      <c r="G456" t="s">
        <v>724</v>
      </c>
      <c r="H456" t="s">
        <v>1423</v>
      </c>
      <c r="I456" t="s">
        <v>165</v>
      </c>
      <c r="J456" t="s">
        <v>26</v>
      </c>
      <c r="K456" t="s">
        <v>27</v>
      </c>
      <c r="L456" t="s">
        <v>231</v>
      </c>
      <c r="M456" t="s">
        <v>93</v>
      </c>
      <c r="N456" t="s">
        <v>30</v>
      </c>
      <c r="O456" t="s">
        <v>31</v>
      </c>
      <c r="P456" t="s">
        <v>1424</v>
      </c>
      <c r="Q456" t="s">
        <v>752</v>
      </c>
      <c r="R456" t="s">
        <v>249</v>
      </c>
      <c r="S456" t="s">
        <v>1425</v>
      </c>
    </row>
    <row r="457" ht="55" customHeight="1" spans="1:19">
      <c r="A457" s="1" t="str">
        <f>_xlfn.DISPIMG("ID_1C21A3FE5F2A4B0A81D15EA668EF15FF",1)</f>
        <v>=DISPIMG("ID_1C21A3FE5F2A4B0A81D15EA668EF15FF",1)</v>
      </c>
      <c r="B457" t="s">
        <v>1426</v>
      </c>
      <c r="C457" t="s">
        <v>727</v>
      </c>
      <c r="D457" t="s">
        <v>435</v>
      </c>
      <c r="E457" t="s">
        <v>63</v>
      </c>
      <c r="F457" t="s">
        <v>40</v>
      </c>
      <c r="G457" t="s">
        <v>1427</v>
      </c>
      <c r="H457" t="s">
        <v>63</v>
      </c>
      <c r="I457" t="s">
        <v>25</v>
      </c>
      <c r="J457" t="s">
        <v>26</v>
      </c>
      <c r="K457" t="s">
        <v>27</v>
      </c>
      <c r="L457" t="s">
        <v>557</v>
      </c>
      <c r="M457" t="s">
        <v>29</v>
      </c>
      <c r="N457" t="s">
        <v>30</v>
      </c>
      <c r="O457" t="s">
        <v>153</v>
      </c>
      <c r="P457" t="s">
        <v>221</v>
      </c>
      <c r="Q457" t="s">
        <v>1023</v>
      </c>
      <c r="R457" t="s">
        <v>945</v>
      </c>
      <c r="S457" t="s">
        <v>1428</v>
      </c>
    </row>
    <row r="458" ht="55" customHeight="1" spans="1:19">
      <c r="A458" s="1" t="str">
        <f>_xlfn.DISPIMG("ID_C49763699E2E4DF1B5627FB57171E4AB",1)</f>
        <v>=DISPIMG("ID_C49763699E2E4DF1B5627FB57171E4AB",1)</v>
      </c>
      <c r="B458" t="s">
        <v>338</v>
      </c>
      <c r="C458" t="s">
        <v>430</v>
      </c>
      <c r="D458" t="s">
        <v>279</v>
      </c>
      <c r="E458" t="s">
        <v>164</v>
      </c>
      <c r="F458" t="s">
        <v>91</v>
      </c>
      <c r="G458" t="s">
        <v>41</v>
      </c>
      <c r="H458" t="s">
        <v>164</v>
      </c>
      <c r="I458" t="s">
        <v>25</v>
      </c>
      <c r="J458" t="s">
        <v>26</v>
      </c>
      <c r="K458" t="s">
        <v>27</v>
      </c>
      <c r="L458" t="s">
        <v>53</v>
      </c>
      <c r="M458" t="s">
        <v>93</v>
      </c>
      <c r="N458" t="s">
        <v>30</v>
      </c>
      <c r="O458" t="s">
        <v>31</v>
      </c>
      <c r="P458" t="s">
        <v>65</v>
      </c>
      <c r="Q458" t="s">
        <v>167</v>
      </c>
      <c r="R458" t="s">
        <v>191</v>
      </c>
      <c r="S458" t="s">
        <v>1429</v>
      </c>
    </row>
    <row r="459" ht="55" customHeight="1" spans="1:19">
      <c r="A459" s="1" t="str">
        <f>_xlfn.DISPIMG("ID_BE4E04B9D76E442786249003E5F29577",1)</f>
        <v>=DISPIMG("ID_BE4E04B9D76E442786249003E5F29577",1)</v>
      </c>
      <c r="B459" t="s">
        <v>97</v>
      </c>
      <c r="C459" t="s">
        <v>1430</v>
      </c>
      <c r="D459" t="s">
        <v>356</v>
      </c>
      <c r="E459" t="s">
        <v>357</v>
      </c>
      <c r="F459" t="s">
        <v>51</v>
      </c>
      <c r="G459" t="s">
        <v>1068</v>
      </c>
      <c r="H459" t="s">
        <v>357</v>
      </c>
      <c r="I459" t="s">
        <v>42</v>
      </c>
      <c r="J459" t="s">
        <v>26</v>
      </c>
      <c r="K459" t="s">
        <v>27</v>
      </c>
      <c r="L459" t="s">
        <v>28</v>
      </c>
      <c r="M459" t="s">
        <v>29</v>
      </c>
      <c r="N459" t="s">
        <v>30</v>
      </c>
      <c r="O459" t="s">
        <v>31</v>
      </c>
      <c r="P459" t="s">
        <v>54</v>
      </c>
      <c r="Q459" t="s">
        <v>269</v>
      </c>
      <c r="R459" t="s">
        <v>1431</v>
      </c>
      <c r="S459" t="s">
        <v>1432</v>
      </c>
    </row>
    <row r="460" ht="55" customHeight="1" spans="1:19">
      <c r="A460" s="1" t="str">
        <f>_xlfn.DISPIMG("ID_6B6DF72A18F84E2B9740C16D6D810784",1)</f>
        <v>=DISPIMG("ID_6B6DF72A18F84E2B9740C16D6D810784",1)</v>
      </c>
      <c r="B460" t="s">
        <v>236</v>
      </c>
      <c r="C460" t="s">
        <v>407</v>
      </c>
      <c r="D460" t="s">
        <v>400</v>
      </c>
      <c r="E460" t="s">
        <v>211</v>
      </c>
      <c r="F460" t="s">
        <v>51</v>
      </c>
      <c r="G460" t="s">
        <v>174</v>
      </c>
      <c r="H460" t="s">
        <v>211</v>
      </c>
      <c r="I460" t="s">
        <v>42</v>
      </c>
      <c r="J460" t="s">
        <v>26</v>
      </c>
      <c r="K460" t="s">
        <v>27</v>
      </c>
      <c r="L460" t="s">
        <v>28</v>
      </c>
      <c r="M460" t="s">
        <v>29</v>
      </c>
      <c r="N460" t="s">
        <v>64</v>
      </c>
      <c r="O460" t="s">
        <v>31</v>
      </c>
      <c r="P460" t="s">
        <v>722</v>
      </c>
      <c r="Q460" t="s">
        <v>388</v>
      </c>
      <c r="R460" t="s">
        <v>104</v>
      </c>
      <c r="S460" t="s">
        <v>1433</v>
      </c>
    </row>
    <row r="461" ht="55" customHeight="1" spans="1:19">
      <c r="A461" s="1" t="str">
        <f>_xlfn.DISPIMG("ID_1A6DF8F748A047798A84F5544AE4CA4D",1)</f>
        <v>=DISPIMG("ID_1A6DF8F748A047798A84F5544AE4CA4D",1)</v>
      </c>
      <c r="B461" t="s">
        <v>675</v>
      </c>
      <c r="C461" t="s">
        <v>510</v>
      </c>
      <c r="D461" t="s">
        <v>99</v>
      </c>
      <c r="E461" t="s">
        <v>100</v>
      </c>
      <c r="F461" t="s">
        <v>173</v>
      </c>
      <c r="G461" t="s">
        <v>260</v>
      </c>
      <c r="H461" t="s">
        <v>100</v>
      </c>
      <c r="I461" t="s">
        <v>137</v>
      </c>
      <c r="J461" t="s">
        <v>26</v>
      </c>
      <c r="K461" t="s">
        <v>27</v>
      </c>
      <c r="L461" t="s">
        <v>28</v>
      </c>
      <c r="M461" t="s">
        <v>93</v>
      </c>
      <c r="N461" t="s">
        <v>30</v>
      </c>
      <c r="O461" t="s">
        <v>31</v>
      </c>
      <c r="P461" t="s">
        <v>154</v>
      </c>
      <c r="Q461" t="s">
        <v>76</v>
      </c>
      <c r="R461" t="s">
        <v>618</v>
      </c>
      <c r="S461" t="s">
        <v>1434</v>
      </c>
    </row>
    <row r="462" ht="55" customHeight="1" spans="1:19">
      <c r="A462" s="1" t="str">
        <f>_xlfn.DISPIMG("ID_78FFEFC1381A437EBB8296D6BE4F9E80",1)</f>
        <v>=DISPIMG("ID_78FFEFC1381A437EBB8296D6BE4F9E80",1)</v>
      </c>
      <c r="B462" t="s">
        <v>236</v>
      </c>
      <c r="C462" t="s">
        <v>1435</v>
      </c>
      <c r="D462" t="s">
        <v>442</v>
      </c>
      <c r="E462" t="s">
        <v>82</v>
      </c>
      <c r="F462" t="s">
        <v>51</v>
      </c>
      <c r="G462" t="s">
        <v>101</v>
      </c>
      <c r="H462" t="s">
        <v>84</v>
      </c>
      <c r="I462" t="s">
        <v>42</v>
      </c>
      <c r="J462" t="s">
        <v>26</v>
      </c>
      <c r="K462" t="s">
        <v>27</v>
      </c>
      <c r="L462" t="s">
        <v>74</v>
      </c>
      <c r="M462" t="s">
        <v>29</v>
      </c>
      <c r="N462" t="s">
        <v>30</v>
      </c>
      <c r="O462" t="s">
        <v>31</v>
      </c>
      <c r="P462" t="s">
        <v>112</v>
      </c>
      <c r="Q462" t="s">
        <v>994</v>
      </c>
      <c r="R462" t="s">
        <v>104</v>
      </c>
      <c r="S462" t="s">
        <v>1436</v>
      </c>
    </row>
    <row r="463" ht="55" customHeight="1" spans="1:19">
      <c r="A463" s="1" t="str">
        <f>_xlfn.DISPIMG("ID_E85E811BD5074BCDADDCFE1878F8E576",1)</f>
        <v>=DISPIMG("ID_E85E811BD5074BCDADDCFE1878F8E576",1)</v>
      </c>
      <c r="B463" t="s">
        <v>1437</v>
      </c>
      <c r="C463" t="s">
        <v>851</v>
      </c>
      <c r="D463" t="s">
        <v>973</v>
      </c>
      <c r="E463" t="s">
        <v>61</v>
      </c>
      <c r="F463" t="s">
        <v>91</v>
      </c>
      <c r="G463" t="s">
        <v>1414</v>
      </c>
      <c r="H463" t="s">
        <v>63</v>
      </c>
      <c r="I463" t="s">
        <v>175</v>
      </c>
      <c r="J463" t="s">
        <v>26</v>
      </c>
      <c r="K463" t="s">
        <v>27</v>
      </c>
      <c r="L463" t="s">
        <v>53</v>
      </c>
      <c r="M463" t="s">
        <v>93</v>
      </c>
      <c r="N463" t="s">
        <v>64</v>
      </c>
      <c r="O463" t="s">
        <v>31</v>
      </c>
      <c r="P463" t="s">
        <v>146</v>
      </c>
      <c r="Q463" t="s">
        <v>76</v>
      </c>
      <c r="R463" t="s">
        <v>736</v>
      </c>
      <c r="S463" t="s">
        <v>1438</v>
      </c>
    </row>
    <row r="464" ht="55" customHeight="1" spans="1:19">
      <c r="A464" s="1" t="str">
        <f>_xlfn.DISPIMG("ID_FD8547EB8BF64B8B9A32C11AB6D6EB14",1)</f>
        <v>=DISPIMG("ID_FD8547EB8BF64B8B9A32C11AB6D6EB14",1)</v>
      </c>
      <c r="B464" t="s">
        <v>1376</v>
      </c>
      <c r="C464" t="s">
        <v>1439</v>
      </c>
      <c r="D464" t="s">
        <v>356</v>
      </c>
      <c r="E464" t="s">
        <v>50</v>
      </c>
      <c r="F464" t="s">
        <v>40</v>
      </c>
      <c r="G464" t="s">
        <v>835</v>
      </c>
      <c r="H464" t="s">
        <v>50</v>
      </c>
      <c r="I464" t="s">
        <v>25</v>
      </c>
      <c r="J464" t="s">
        <v>26</v>
      </c>
      <c r="K464" t="s">
        <v>27</v>
      </c>
      <c r="L464" t="s">
        <v>28</v>
      </c>
      <c r="M464" t="s">
        <v>29</v>
      </c>
      <c r="N464" t="s">
        <v>30</v>
      </c>
      <c r="O464" t="s">
        <v>31</v>
      </c>
      <c r="P464" t="s">
        <v>128</v>
      </c>
      <c r="Q464" t="s">
        <v>879</v>
      </c>
      <c r="R464" t="s">
        <v>263</v>
      </c>
      <c r="S464" t="s">
        <v>1440</v>
      </c>
    </row>
    <row r="465" ht="55" customHeight="1" spans="1:19">
      <c r="A465" s="1" t="str">
        <f>_xlfn.DISPIMG("ID_03662EDA3D5444A0AC5D75E889FD330B",1)</f>
        <v>=DISPIMG("ID_03662EDA3D5444A0AC5D75E889FD330B",1)</v>
      </c>
      <c r="B465" t="s">
        <v>1441</v>
      </c>
      <c r="C465" t="s">
        <v>1201</v>
      </c>
      <c r="D465" t="s">
        <v>1160</v>
      </c>
      <c r="E465" t="s">
        <v>84</v>
      </c>
      <c r="F465" t="s">
        <v>878</v>
      </c>
      <c r="G465" t="s">
        <v>1442</v>
      </c>
      <c r="H465" t="s">
        <v>84</v>
      </c>
      <c r="I465" t="s">
        <v>189</v>
      </c>
      <c r="J465" t="s">
        <v>230</v>
      </c>
      <c r="K465" t="s">
        <v>27</v>
      </c>
      <c r="L465" t="s">
        <v>329</v>
      </c>
      <c r="M465" t="s">
        <v>93</v>
      </c>
      <c r="N465" t="s">
        <v>30</v>
      </c>
      <c r="O465" t="s">
        <v>31</v>
      </c>
      <c r="P465" t="s">
        <v>75</v>
      </c>
      <c r="Q465" t="s">
        <v>113</v>
      </c>
      <c r="R465" t="s">
        <v>1443</v>
      </c>
      <c r="S465" t="s">
        <v>1444</v>
      </c>
    </row>
    <row r="466" ht="55" customHeight="1" spans="1:19">
      <c r="A466" s="1" t="str">
        <f>_xlfn.DISPIMG("ID_29546E4B17564F61BA6B60BECFC4D789",1)</f>
        <v>=DISPIMG("ID_29546E4B17564F61BA6B60BECFC4D789",1)</v>
      </c>
      <c r="B466" t="s">
        <v>366</v>
      </c>
      <c r="C466" t="s">
        <v>1445</v>
      </c>
      <c r="D466" t="s">
        <v>244</v>
      </c>
      <c r="E466" t="s">
        <v>659</v>
      </c>
      <c r="F466" t="s">
        <v>245</v>
      </c>
      <c r="G466" t="s">
        <v>1446</v>
      </c>
      <c r="H466" t="s">
        <v>659</v>
      </c>
      <c r="I466" t="s">
        <v>165</v>
      </c>
      <c r="J466" t="s">
        <v>26</v>
      </c>
      <c r="K466" t="s">
        <v>27</v>
      </c>
      <c r="L466" t="s">
        <v>28</v>
      </c>
      <c r="M466" t="s">
        <v>93</v>
      </c>
      <c r="N466" t="s">
        <v>30</v>
      </c>
      <c r="O466" t="s">
        <v>31</v>
      </c>
      <c r="P466" t="s">
        <v>154</v>
      </c>
      <c r="Q466" t="s">
        <v>297</v>
      </c>
      <c r="R466" t="s">
        <v>370</v>
      </c>
      <c r="S466" t="s">
        <v>1447</v>
      </c>
    </row>
    <row r="467" ht="55" customHeight="1" spans="1:19">
      <c r="A467" s="1" t="str">
        <f>_xlfn.DISPIMG("ID_47E8F81B9AC147A19F1DD731AC842122",1)</f>
        <v>=DISPIMG("ID_47E8F81B9AC147A19F1DD731AC842122",1)</v>
      </c>
      <c r="B467" t="s">
        <v>1448</v>
      </c>
      <c r="C467" t="s">
        <v>1449</v>
      </c>
      <c r="D467" t="s">
        <v>769</v>
      </c>
      <c r="E467" t="s">
        <v>413</v>
      </c>
      <c r="F467" t="s">
        <v>91</v>
      </c>
      <c r="G467" t="s">
        <v>431</v>
      </c>
      <c r="H467" t="s">
        <v>100</v>
      </c>
      <c r="I467" t="s">
        <v>189</v>
      </c>
      <c r="J467" t="s">
        <v>26</v>
      </c>
      <c r="K467" t="s">
        <v>27</v>
      </c>
      <c r="L467" t="s">
        <v>28</v>
      </c>
      <c r="M467" t="s">
        <v>93</v>
      </c>
      <c r="N467" t="s">
        <v>30</v>
      </c>
      <c r="O467" t="s">
        <v>31</v>
      </c>
      <c r="P467" t="s">
        <v>154</v>
      </c>
      <c r="Q467" t="s">
        <v>66</v>
      </c>
      <c r="R467" t="s">
        <v>1450</v>
      </c>
      <c r="S467" t="s">
        <v>1451</v>
      </c>
    </row>
    <row r="468" ht="55" customHeight="1" spans="1:19">
      <c r="A468" s="1" t="str">
        <f>_xlfn.DISPIMG("ID_31C07341A47D40E28B32BDD58D5F726B",1)</f>
        <v>=DISPIMG("ID_31C07341A47D40E28B32BDD58D5F726B",1)</v>
      </c>
      <c r="B468" t="s">
        <v>282</v>
      </c>
      <c r="C468" t="s">
        <v>1193</v>
      </c>
      <c r="D468" t="s">
        <v>375</v>
      </c>
      <c r="E468" t="s">
        <v>486</v>
      </c>
      <c r="F468" t="s">
        <v>40</v>
      </c>
      <c r="G468" t="s">
        <v>1452</v>
      </c>
      <c r="H468" t="s">
        <v>486</v>
      </c>
      <c r="I468" t="s">
        <v>42</v>
      </c>
      <c r="J468" t="s">
        <v>26</v>
      </c>
      <c r="K468" t="s">
        <v>27</v>
      </c>
      <c r="L468" t="s">
        <v>28</v>
      </c>
      <c r="M468" t="s">
        <v>29</v>
      </c>
      <c r="N468" t="s">
        <v>30</v>
      </c>
      <c r="O468" t="s">
        <v>31</v>
      </c>
      <c r="P468" t="s">
        <v>414</v>
      </c>
      <c r="Q468" t="s">
        <v>1023</v>
      </c>
      <c r="R468" t="s">
        <v>45</v>
      </c>
      <c r="S468" t="s">
        <v>1453</v>
      </c>
    </row>
    <row r="469" ht="55" customHeight="1" spans="1:19">
      <c r="A469" s="1" t="str">
        <f>_xlfn.DISPIMG("ID_395DB8D8232D4E109DD65FCC606316F0",1)</f>
        <v>=DISPIMG("ID_395DB8D8232D4E109DD65FCC606316F0",1)</v>
      </c>
      <c r="B469" t="s">
        <v>338</v>
      </c>
      <c r="C469" t="s">
        <v>643</v>
      </c>
      <c r="D469" t="s">
        <v>279</v>
      </c>
      <c r="E469" t="s">
        <v>164</v>
      </c>
      <c r="F469" t="s">
        <v>91</v>
      </c>
      <c r="G469" t="s">
        <v>41</v>
      </c>
      <c r="H469" t="s">
        <v>164</v>
      </c>
      <c r="I469" t="s">
        <v>25</v>
      </c>
      <c r="J469" t="s">
        <v>26</v>
      </c>
      <c r="K469" t="s">
        <v>27</v>
      </c>
      <c r="L469" t="s">
        <v>28</v>
      </c>
      <c r="M469" t="s">
        <v>93</v>
      </c>
      <c r="N469" t="s">
        <v>30</v>
      </c>
      <c r="O469" t="s">
        <v>31</v>
      </c>
      <c r="P469" t="s">
        <v>285</v>
      </c>
      <c r="Q469" t="s">
        <v>122</v>
      </c>
      <c r="R469" t="s">
        <v>191</v>
      </c>
      <c r="S469" t="s">
        <v>1454</v>
      </c>
    </row>
    <row r="470" ht="55" customHeight="1" spans="1:19">
      <c r="A470" s="1" t="str">
        <f>_xlfn.DISPIMG("ID_7366B87DB3B641B99B5C7AD027A55959",1)</f>
        <v>=DISPIMG("ID_7366B87DB3B641B99B5C7AD027A55959",1)</v>
      </c>
      <c r="B470" t="s">
        <v>1227</v>
      </c>
      <c r="C470" t="s">
        <v>1455</v>
      </c>
      <c r="D470" t="s">
        <v>435</v>
      </c>
      <c r="E470" t="s">
        <v>109</v>
      </c>
      <c r="F470" t="s">
        <v>245</v>
      </c>
      <c r="G470" t="s">
        <v>740</v>
      </c>
      <c r="H470" t="s">
        <v>111</v>
      </c>
      <c r="I470" t="s">
        <v>165</v>
      </c>
      <c r="J470" t="s">
        <v>26</v>
      </c>
      <c r="K470" t="s">
        <v>27</v>
      </c>
      <c r="L470" t="s">
        <v>231</v>
      </c>
      <c r="M470" t="s">
        <v>93</v>
      </c>
      <c r="N470" t="s">
        <v>30</v>
      </c>
      <c r="O470" t="s">
        <v>31</v>
      </c>
      <c r="P470" t="s">
        <v>75</v>
      </c>
      <c r="Q470" t="s">
        <v>297</v>
      </c>
      <c r="R470" t="s">
        <v>1228</v>
      </c>
      <c r="S470" t="s">
        <v>1456</v>
      </c>
    </row>
    <row r="471" ht="55" customHeight="1" spans="1:19">
      <c r="A471" s="1" t="str">
        <f>_xlfn.DISPIMG("ID_66F6A7A2F8C14D20973989E22F9D2BFF",1)</f>
        <v>=DISPIMG("ID_66F6A7A2F8C14D20973989E22F9D2BFF",1)</v>
      </c>
      <c r="B471" t="s">
        <v>116</v>
      </c>
      <c r="C471" t="s">
        <v>608</v>
      </c>
      <c r="D471" t="s">
        <v>375</v>
      </c>
      <c r="E471" t="s">
        <v>100</v>
      </c>
      <c r="F471" t="s">
        <v>40</v>
      </c>
      <c r="G471" t="s">
        <v>306</v>
      </c>
      <c r="H471" t="s">
        <v>100</v>
      </c>
      <c r="I471" t="s">
        <v>42</v>
      </c>
      <c r="J471" t="s">
        <v>26</v>
      </c>
      <c r="K471" t="s">
        <v>27</v>
      </c>
      <c r="L471" t="s">
        <v>28</v>
      </c>
      <c r="M471" t="s">
        <v>29</v>
      </c>
      <c r="N471" t="s">
        <v>30</v>
      </c>
      <c r="O471" t="s">
        <v>31</v>
      </c>
      <c r="P471" t="s">
        <v>1304</v>
      </c>
      <c r="Q471" t="s">
        <v>76</v>
      </c>
      <c r="R471" t="s">
        <v>45</v>
      </c>
      <c r="S471" t="s">
        <v>1457</v>
      </c>
    </row>
    <row r="472" ht="55" customHeight="1" spans="1:19">
      <c r="A472" s="1" t="str">
        <f>_xlfn.DISPIMG("ID_94C5CA06765647B4844F7D87DD35A0D2",1)</f>
        <v>=DISPIMG("ID_94C5CA06765647B4844F7D87DD35A0D2",1)</v>
      </c>
      <c r="B472" t="s">
        <v>707</v>
      </c>
      <c r="C472" t="s">
        <v>1402</v>
      </c>
      <c r="D472" t="s">
        <v>435</v>
      </c>
      <c r="E472" t="s">
        <v>63</v>
      </c>
      <c r="F472" t="s">
        <v>245</v>
      </c>
      <c r="G472" t="s">
        <v>306</v>
      </c>
      <c r="H472" t="s">
        <v>63</v>
      </c>
      <c r="I472" t="s">
        <v>165</v>
      </c>
      <c r="J472" t="s">
        <v>26</v>
      </c>
      <c r="K472" t="s">
        <v>27</v>
      </c>
      <c r="L472" t="s">
        <v>231</v>
      </c>
      <c r="M472" t="s">
        <v>93</v>
      </c>
      <c r="N472" t="s">
        <v>30</v>
      </c>
      <c r="O472" t="s">
        <v>31</v>
      </c>
      <c r="P472" t="s">
        <v>65</v>
      </c>
      <c r="Q472" t="s">
        <v>55</v>
      </c>
      <c r="R472" t="s">
        <v>249</v>
      </c>
      <c r="S472" t="s">
        <v>1458</v>
      </c>
    </row>
    <row r="473" ht="55" customHeight="1" spans="1:19">
      <c r="A473" s="1" t="str">
        <f>_xlfn.DISPIMG("ID_6BE8D7EF0F3F40CBBCE7A55D8833A4AB",1)</f>
        <v>=DISPIMG("ID_6BE8D7EF0F3F40CBBCE7A55D8833A4AB",1)</v>
      </c>
      <c r="B473" t="s">
        <v>295</v>
      </c>
      <c r="C473" t="s">
        <v>1459</v>
      </c>
      <c r="D473" t="s">
        <v>244</v>
      </c>
      <c r="E473" t="s">
        <v>164</v>
      </c>
      <c r="F473" t="s">
        <v>91</v>
      </c>
      <c r="G473" t="s">
        <v>1460</v>
      </c>
      <c r="H473" t="s">
        <v>164</v>
      </c>
      <c r="I473" t="s">
        <v>42</v>
      </c>
      <c r="J473" t="s">
        <v>26</v>
      </c>
      <c r="K473" t="s">
        <v>27</v>
      </c>
      <c r="L473" t="s">
        <v>53</v>
      </c>
      <c r="M473" t="s">
        <v>93</v>
      </c>
      <c r="N473" t="s">
        <v>64</v>
      </c>
      <c r="O473" t="s">
        <v>31</v>
      </c>
      <c r="P473" t="s">
        <v>463</v>
      </c>
      <c r="Q473" t="s">
        <v>297</v>
      </c>
      <c r="R473" t="s">
        <v>130</v>
      </c>
      <c r="S473" t="s">
        <v>1461</v>
      </c>
    </row>
    <row r="474" ht="55" customHeight="1" spans="1:19">
      <c r="A474" s="1" t="str">
        <f>_xlfn.DISPIMG("ID_28FC93AFC21040A59BE470AB769743E7",1)</f>
        <v>=DISPIMG("ID_28FC93AFC21040A59BE470AB769743E7",1)</v>
      </c>
      <c r="B474" t="s">
        <v>282</v>
      </c>
      <c r="C474" t="s">
        <v>564</v>
      </c>
      <c r="D474" t="s">
        <v>349</v>
      </c>
      <c r="E474" t="s">
        <v>84</v>
      </c>
      <c r="F474" t="s">
        <v>40</v>
      </c>
      <c r="G474" t="s">
        <v>383</v>
      </c>
      <c r="H474" t="s">
        <v>84</v>
      </c>
      <c r="I474" t="s">
        <v>42</v>
      </c>
      <c r="J474" t="s">
        <v>26</v>
      </c>
      <c r="K474" t="s">
        <v>27</v>
      </c>
      <c r="L474" t="s">
        <v>74</v>
      </c>
      <c r="M474" t="s">
        <v>29</v>
      </c>
      <c r="N474" t="s">
        <v>30</v>
      </c>
      <c r="O474" t="s">
        <v>31</v>
      </c>
      <c r="P474" t="s">
        <v>146</v>
      </c>
      <c r="Q474" t="s">
        <v>468</v>
      </c>
      <c r="R474" t="s">
        <v>45</v>
      </c>
      <c r="S474" t="s">
        <v>1462</v>
      </c>
    </row>
    <row r="475" ht="55" customHeight="1" spans="1:19">
      <c r="A475" s="1" t="str">
        <f>_xlfn.DISPIMG("ID_B2DB4C9578C8404CBE44B32D079F3D67",1)</f>
        <v>=DISPIMG("ID_B2DB4C9578C8404CBE44B32D079F3D67",1)</v>
      </c>
      <c r="B475" t="s">
        <v>116</v>
      </c>
      <c r="C475" t="s">
        <v>1463</v>
      </c>
      <c r="D475" t="s">
        <v>143</v>
      </c>
      <c r="E475" t="s">
        <v>144</v>
      </c>
      <c r="F475" t="s">
        <v>40</v>
      </c>
      <c r="G475" t="s">
        <v>1115</v>
      </c>
      <c r="H475" t="s">
        <v>144</v>
      </c>
      <c r="I475" t="s">
        <v>42</v>
      </c>
      <c r="J475" t="s">
        <v>26</v>
      </c>
      <c r="K475" t="s">
        <v>27</v>
      </c>
      <c r="L475" t="s">
        <v>28</v>
      </c>
      <c r="M475" t="s">
        <v>29</v>
      </c>
      <c r="N475" t="s">
        <v>64</v>
      </c>
      <c r="O475" t="s">
        <v>31</v>
      </c>
      <c r="P475" t="s">
        <v>463</v>
      </c>
      <c r="Q475" t="s">
        <v>103</v>
      </c>
      <c r="R475" t="s">
        <v>45</v>
      </c>
      <c r="S475" t="s">
        <v>1464</v>
      </c>
    </row>
    <row r="476" ht="55" customHeight="1" spans="1:19">
      <c r="A476" s="1" t="str">
        <f>_xlfn.DISPIMG("ID_A090640F898648BC817AA9947F0462A1",1)</f>
        <v>=DISPIMG("ID_A090640F898648BC817AA9947F0462A1",1)</v>
      </c>
      <c r="B476" t="s">
        <v>58</v>
      </c>
      <c r="C476" t="s">
        <v>1406</v>
      </c>
      <c r="D476" t="s">
        <v>188</v>
      </c>
      <c r="E476" t="s">
        <v>144</v>
      </c>
      <c r="F476" t="s">
        <v>51</v>
      </c>
      <c r="G476" t="s">
        <v>127</v>
      </c>
      <c r="H476" t="s">
        <v>144</v>
      </c>
      <c r="I476" t="s">
        <v>42</v>
      </c>
      <c r="J476" t="s">
        <v>26</v>
      </c>
      <c r="K476" t="s">
        <v>27</v>
      </c>
      <c r="L476" t="s">
        <v>74</v>
      </c>
      <c r="M476" t="s">
        <v>29</v>
      </c>
      <c r="N476" t="s">
        <v>30</v>
      </c>
      <c r="O476" t="s">
        <v>31</v>
      </c>
      <c r="P476" t="s">
        <v>491</v>
      </c>
      <c r="Q476" t="s">
        <v>190</v>
      </c>
      <c r="R476" t="s">
        <v>409</v>
      </c>
      <c r="S476" t="s">
        <v>1465</v>
      </c>
    </row>
    <row r="477" ht="55" customHeight="1" spans="1:19">
      <c r="A477" s="1" t="str">
        <f>_xlfn.DISPIMG("ID_DAFE9F2713C04D7ABB132327A91D0A2C",1)</f>
        <v>=DISPIMG("ID_DAFE9F2713C04D7ABB132327A91D0A2C",1)</v>
      </c>
      <c r="B477" t="s">
        <v>366</v>
      </c>
      <c r="C477" t="s">
        <v>126</v>
      </c>
      <c r="D477" t="s">
        <v>375</v>
      </c>
      <c r="E477" t="s">
        <v>22</v>
      </c>
      <c r="F477" t="s">
        <v>245</v>
      </c>
      <c r="G477" t="s">
        <v>1466</v>
      </c>
      <c r="H477" t="s">
        <v>357</v>
      </c>
      <c r="I477" t="s">
        <v>165</v>
      </c>
      <c r="J477" t="s">
        <v>26</v>
      </c>
      <c r="K477" t="s">
        <v>27</v>
      </c>
      <c r="L477" t="s">
        <v>557</v>
      </c>
      <c r="M477" t="s">
        <v>93</v>
      </c>
      <c r="N477" t="s">
        <v>30</v>
      </c>
      <c r="O477" t="s">
        <v>31</v>
      </c>
      <c r="P477" t="s">
        <v>65</v>
      </c>
      <c r="Q477" t="s">
        <v>85</v>
      </c>
      <c r="R477" t="s">
        <v>147</v>
      </c>
      <c r="S477" t="s">
        <v>1467</v>
      </c>
    </row>
    <row r="478" ht="55" customHeight="1" spans="1:19">
      <c r="A478" s="1" t="str">
        <f>_xlfn.DISPIMG("ID_B6825222121040A0AB674696CBE6769B",1)</f>
        <v>=DISPIMG("ID_B6825222121040A0AB674696CBE6769B",1)</v>
      </c>
      <c r="B478" t="s">
        <v>257</v>
      </c>
      <c r="C478" t="s">
        <v>1468</v>
      </c>
      <c r="D478" t="s">
        <v>180</v>
      </c>
      <c r="E478" t="s">
        <v>111</v>
      </c>
      <c r="F478" t="s">
        <v>51</v>
      </c>
      <c r="G478" t="s">
        <v>1109</v>
      </c>
      <c r="H478" t="s">
        <v>111</v>
      </c>
      <c r="I478" t="s">
        <v>25</v>
      </c>
      <c r="J478" t="s">
        <v>26</v>
      </c>
      <c r="K478" t="s">
        <v>27</v>
      </c>
      <c r="L478" t="s">
        <v>28</v>
      </c>
      <c r="M478" t="s">
        <v>29</v>
      </c>
      <c r="N478" t="s">
        <v>30</v>
      </c>
      <c r="O478" t="s">
        <v>31</v>
      </c>
      <c r="P478" t="s">
        <v>473</v>
      </c>
      <c r="Q478" t="s">
        <v>359</v>
      </c>
      <c r="R478" t="s">
        <v>263</v>
      </c>
      <c r="S478" t="s">
        <v>1469</v>
      </c>
    </row>
    <row r="479" ht="55" customHeight="1" spans="1:19">
      <c r="A479" s="1" t="str">
        <f>_xlfn.DISPIMG("ID_60EE125A16FD4CBC9767218259231759",1)</f>
        <v>=DISPIMG("ID_60EE125A16FD4CBC9767218259231759",1)</v>
      </c>
      <c r="B479" t="s">
        <v>257</v>
      </c>
      <c r="C479" t="s">
        <v>1455</v>
      </c>
      <c r="D479" t="s">
        <v>1391</v>
      </c>
      <c r="E479" t="s">
        <v>72</v>
      </c>
      <c r="F479" t="s">
        <v>51</v>
      </c>
      <c r="G479" t="s">
        <v>127</v>
      </c>
      <c r="H479" t="s">
        <v>197</v>
      </c>
      <c r="I479" t="s">
        <v>25</v>
      </c>
      <c r="J479" t="s">
        <v>26</v>
      </c>
      <c r="K479" t="s">
        <v>27</v>
      </c>
      <c r="L479" t="s">
        <v>28</v>
      </c>
      <c r="M479" t="s">
        <v>29</v>
      </c>
      <c r="N479" t="s">
        <v>30</v>
      </c>
      <c r="O479" t="s">
        <v>31</v>
      </c>
      <c r="P479" t="s">
        <v>857</v>
      </c>
      <c r="Q479" t="s">
        <v>297</v>
      </c>
      <c r="R479" t="s">
        <v>263</v>
      </c>
      <c r="S479" t="s">
        <v>1470</v>
      </c>
    </row>
    <row r="480" ht="55" customHeight="1" spans="1:19">
      <c r="A480" s="1" t="str">
        <f>_xlfn.DISPIMG("ID_0071FB06F49845B9A4C7DFCB7F825A72",1)</f>
        <v>=DISPIMG("ID_0071FB06F49845B9A4C7DFCB7F825A72",1)</v>
      </c>
      <c r="B480" t="s">
        <v>257</v>
      </c>
      <c r="C480" t="s">
        <v>289</v>
      </c>
      <c r="D480" t="s">
        <v>730</v>
      </c>
      <c r="E480" t="s">
        <v>39</v>
      </c>
      <c r="F480" t="s">
        <v>51</v>
      </c>
      <c r="G480" t="s">
        <v>670</v>
      </c>
      <c r="H480" t="s">
        <v>39</v>
      </c>
      <c r="I480" t="s">
        <v>25</v>
      </c>
      <c r="J480" t="s">
        <v>26</v>
      </c>
      <c r="K480" t="s">
        <v>27</v>
      </c>
      <c r="L480" t="s">
        <v>28</v>
      </c>
      <c r="M480" t="s">
        <v>29</v>
      </c>
      <c r="N480" t="s">
        <v>30</v>
      </c>
      <c r="O480" t="s">
        <v>31</v>
      </c>
      <c r="P480" t="s">
        <v>437</v>
      </c>
      <c r="Q480" t="s">
        <v>1471</v>
      </c>
      <c r="R480" t="s">
        <v>263</v>
      </c>
      <c r="S480" t="s">
        <v>1472</v>
      </c>
    </row>
    <row r="481" ht="55" customHeight="1" spans="1:19">
      <c r="A481" s="1" t="str">
        <f>_xlfn.DISPIMG("ID_EACF1DAB38B444DAABEEF6DE50CEF082",1)</f>
        <v>=DISPIMG("ID_EACF1DAB38B444DAABEEF6DE50CEF082",1)</v>
      </c>
      <c r="B481" t="s">
        <v>158</v>
      </c>
      <c r="C481" t="s">
        <v>1473</v>
      </c>
      <c r="D481" t="s">
        <v>160</v>
      </c>
      <c r="E481" t="s">
        <v>161</v>
      </c>
      <c r="F481" t="s">
        <v>162</v>
      </c>
      <c r="G481" t="s">
        <v>383</v>
      </c>
      <c r="H481" t="s">
        <v>164</v>
      </c>
      <c r="I481" t="s">
        <v>165</v>
      </c>
      <c r="J481" t="s">
        <v>26</v>
      </c>
      <c r="K481" t="s">
        <v>27</v>
      </c>
      <c r="L481" t="s">
        <v>28</v>
      </c>
      <c r="M481" t="s">
        <v>166</v>
      </c>
      <c r="N481" t="s">
        <v>30</v>
      </c>
      <c r="O481" t="s">
        <v>31</v>
      </c>
      <c r="P481" t="s">
        <v>1474</v>
      </c>
      <c r="Q481" t="s">
        <v>76</v>
      </c>
      <c r="R481" t="s">
        <v>168</v>
      </c>
      <c r="S481" t="s">
        <v>1475</v>
      </c>
    </row>
    <row r="482" ht="55" customHeight="1" spans="1:19">
      <c r="A482" s="1" t="str">
        <f>_xlfn.DISPIMG("ID_F9DFBD936BB54A3CA40ABAA9AA578EE5",1)</f>
        <v>=DISPIMG("ID_F9DFBD936BB54A3CA40ABAA9AA578EE5",1)</v>
      </c>
      <c r="B482" t="s">
        <v>441</v>
      </c>
      <c r="C482" t="s">
        <v>321</v>
      </c>
      <c r="D482" t="s">
        <v>160</v>
      </c>
      <c r="E482" t="s">
        <v>161</v>
      </c>
      <c r="F482" t="s">
        <v>162</v>
      </c>
      <c r="G482" t="s">
        <v>254</v>
      </c>
      <c r="H482" t="s">
        <v>164</v>
      </c>
      <c r="I482" t="s">
        <v>165</v>
      </c>
      <c r="J482" t="s">
        <v>26</v>
      </c>
      <c r="K482" t="s">
        <v>27</v>
      </c>
      <c r="L482" t="s">
        <v>28</v>
      </c>
      <c r="M482" t="s">
        <v>166</v>
      </c>
      <c r="N482" t="s">
        <v>30</v>
      </c>
      <c r="O482" t="s">
        <v>31</v>
      </c>
      <c r="P482" t="s">
        <v>473</v>
      </c>
      <c r="Q482" t="s">
        <v>167</v>
      </c>
      <c r="R482" t="s">
        <v>168</v>
      </c>
      <c r="S482" t="s">
        <v>1476</v>
      </c>
    </row>
    <row r="483" ht="55" customHeight="1" spans="1:19">
      <c r="A483" s="1" t="str">
        <f>_xlfn.DISPIMG("ID_85E907CDD583423896648C28708873BE",1)</f>
        <v>=DISPIMG("ID_85E907CDD583423896648C28708873BE",1)</v>
      </c>
      <c r="B483" t="s">
        <v>282</v>
      </c>
      <c r="C483" t="s">
        <v>1477</v>
      </c>
      <c r="D483" t="s">
        <v>1478</v>
      </c>
      <c r="E483" t="s">
        <v>111</v>
      </c>
      <c r="F483" t="s">
        <v>40</v>
      </c>
      <c r="G483" t="s">
        <v>41</v>
      </c>
      <c r="H483" t="s">
        <v>111</v>
      </c>
      <c r="I483" t="s">
        <v>42</v>
      </c>
      <c r="J483" t="s">
        <v>26</v>
      </c>
      <c r="K483" t="s">
        <v>27</v>
      </c>
      <c r="L483" t="s">
        <v>74</v>
      </c>
      <c r="M483" t="s">
        <v>29</v>
      </c>
      <c r="N483" t="s">
        <v>30</v>
      </c>
      <c r="O483" t="s">
        <v>31</v>
      </c>
      <c r="P483" t="s">
        <v>221</v>
      </c>
      <c r="Q483" t="s">
        <v>468</v>
      </c>
      <c r="R483" t="s">
        <v>832</v>
      </c>
      <c r="S483" t="s">
        <v>1479</v>
      </c>
    </row>
    <row r="484" ht="55" customHeight="1" spans="1:19">
      <c r="A484" s="1" t="str">
        <f>_xlfn.DISPIMG("ID_ED72C9D85623430E8FC067521420CD10",1)</f>
        <v>=DISPIMG("ID_ED72C9D85623430E8FC067521420CD10",1)</v>
      </c>
      <c r="B484" t="s">
        <v>571</v>
      </c>
      <c r="C484" t="s">
        <v>424</v>
      </c>
      <c r="D484" t="s">
        <v>71</v>
      </c>
      <c r="E484" t="s">
        <v>72</v>
      </c>
      <c r="F484" t="s">
        <v>91</v>
      </c>
      <c r="G484" t="s">
        <v>306</v>
      </c>
      <c r="H484" t="s">
        <v>72</v>
      </c>
      <c r="I484" t="s">
        <v>175</v>
      </c>
      <c r="J484" t="s">
        <v>26</v>
      </c>
      <c r="K484" t="s">
        <v>27</v>
      </c>
      <c r="L484" t="s">
        <v>28</v>
      </c>
      <c r="M484" t="s">
        <v>93</v>
      </c>
      <c r="N484" t="s">
        <v>30</v>
      </c>
      <c r="O484" t="s">
        <v>31</v>
      </c>
      <c r="P484" t="s">
        <v>65</v>
      </c>
      <c r="Q484" t="s">
        <v>297</v>
      </c>
      <c r="R484" t="s">
        <v>147</v>
      </c>
      <c r="S484" t="s">
        <v>1480</v>
      </c>
    </row>
    <row r="485" ht="55" customHeight="1" spans="1:19">
      <c r="A485" s="1" t="str">
        <f>_xlfn.DISPIMG("ID_D292365744F046F7A4F93D7FA121832F",1)</f>
        <v>=DISPIMG("ID_D292365744F046F7A4F93D7FA121832F",1)</v>
      </c>
      <c r="B485" t="s">
        <v>794</v>
      </c>
      <c r="C485" t="s">
        <v>548</v>
      </c>
      <c r="D485" t="s">
        <v>750</v>
      </c>
      <c r="E485" t="s">
        <v>316</v>
      </c>
      <c r="F485" t="s">
        <v>290</v>
      </c>
      <c r="G485" t="s">
        <v>317</v>
      </c>
      <c r="H485" t="s">
        <v>144</v>
      </c>
      <c r="I485" t="s">
        <v>42</v>
      </c>
      <c r="J485" t="s">
        <v>26</v>
      </c>
      <c r="K485" t="s">
        <v>27</v>
      </c>
      <c r="L485" t="s">
        <v>28</v>
      </c>
      <c r="M485" t="s">
        <v>93</v>
      </c>
      <c r="N485" t="s">
        <v>30</v>
      </c>
      <c r="O485" t="s">
        <v>31</v>
      </c>
      <c r="P485" t="s">
        <v>351</v>
      </c>
      <c r="Q485" t="s">
        <v>292</v>
      </c>
      <c r="R485" t="s">
        <v>130</v>
      </c>
      <c r="S485" t="s">
        <v>1481</v>
      </c>
    </row>
    <row r="486" ht="55" customHeight="1" spans="1:19">
      <c r="A486" s="1" t="str">
        <f>_xlfn.DISPIMG("ID_9E78F525C0DE489EB78CD47988F9B596",1)</f>
        <v>=DISPIMG("ID_9E78F525C0DE489EB78CD47988F9B596",1)</v>
      </c>
      <c r="B486" t="s">
        <v>1482</v>
      </c>
      <c r="C486" t="s">
        <v>663</v>
      </c>
      <c r="D486" t="s">
        <v>1366</v>
      </c>
      <c r="E486" t="s">
        <v>63</v>
      </c>
      <c r="F486" t="s">
        <v>162</v>
      </c>
      <c r="G486" t="s">
        <v>402</v>
      </c>
      <c r="H486" t="s">
        <v>63</v>
      </c>
      <c r="I486" t="s">
        <v>175</v>
      </c>
      <c r="J486" t="s">
        <v>26</v>
      </c>
      <c r="K486" t="s">
        <v>27</v>
      </c>
      <c r="L486" t="s">
        <v>323</v>
      </c>
      <c r="M486" t="s">
        <v>166</v>
      </c>
      <c r="N486" t="s">
        <v>64</v>
      </c>
      <c r="O486" t="s">
        <v>31</v>
      </c>
      <c r="P486" t="s">
        <v>182</v>
      </c>
      <c r="Q486" t="s">
        <v>352</v>
      </c>
      <c r="R486" t="s">
        <v>1483</v>
      </c>
      <c r="S486" t="s">
        <v>1484</v>
      </c>
    </row>
    <row r="487" ht="55" customHeight="1" spans="1:19">
      <c r="A487" s="1" t="str">
        <f>_xlfn.DISPIMG("ID_64617C34C0654C4DA4E9B381EDCA41C5",1)</f>
        <v>=DISPIMG("ID_64617C34C0654C4DA4E9B381EDCA41C5",1)</v>
      </c>
      <c r="B487" t="s">
        <v>366</v>
      </c>
      <c r="C487" t="s">
        <v>576</v>
      </c>
      <c r="D487" t="s">
        <v>830</v>
      </c>
      <c r="E487" t="s">
        <v>316</v>
      </c>
      <c r="F487" t="s">
        <v>245</v>
      </c>
      <c r="G487" t="s">
        <v>1207</v>
      </c>
      <c r="H487" t="s">
        <v>144</v>
      </c>
      <c r="I487" t="s">
        <v>165</v>
      </c>
      <c r="J487" t="s">
        <v>26</v>
      </c>
      <c r="K487" t="s">
        <v>27</v>
      </c>
      <c r="L487" t="s">
        <v>231</v>
      </c>
      <c r="M487" t="s">
        <v>93</v>
      </c>
      <c r="N487" t="s">
        <v>30</v>
      </c>
      <c r="O487" t="s">
        <v>31</v>
      </c>
      <c r="P487" t="s">
        <v>221</v>
      </c>
      <c r="Q487" t="s">
        <v>167</v>
      </c>
      <c r="R487" t="s">
        <v>370</v>
      </c>
      <c r="S487" t="s">
        <v>1485</v>
      </c>
    </row>
    <row r="488" ht="55" customHeight="1" spans="1:19">
      <c r="A488" s="1" t="str">
        <f>_xlfn.DISPIMG("ID_08B7D001900E4F2C9E5E7C4BFF93F9A5",1)</f>
        <v>=DISPIMG("ID_08B7D001900E4F2C9E5E7C4BFF93F9A5",1)</v>
      </c>
      <c r="B488" t="s">
        <v>877</v>
      </c>
      <c r="C488" t="s">
        <v>498</v>
      </c>
      <c r="D488" t="s">
        <v>60</v>
      </c>
      <c r="E488" t="s">
        <v>238</v>
      </c>
      <c r="F488" t="s">
        <v>878</v>
      </c>
      <c r="G488" t="s">
        <v>127</v>
      </c>
      <c r="H488" t="s">
        <v>238</v>
      </c>
      <c r="I488" t="s">
        <v>189</v>
      </c>
      <c r="J488" t="s">
        <v>26</v>
      </c>
      <c r="K488" t="s">
        <v>27</v>
      </c>
      <c r="L488" t="s">
        <v>28</v>
      </c>
      <c r="M488" t="s">
        <v>93</v>
      </c>
      <c r="N488" t="s">
        <v>30</v>
      </c>
      <c r="O488" t="s">
        <v>31</v>
      </c>
      <c r="P488" t="s">
        <v>1486</v>
      </c>
      <c r="Q488" t="s">
        <v>33</v>
      </c>
      <c r="R488" t="s">
        <v>880</v>
      </c>
      <c r="S488" t="s">
        <v>1487</v>
      </c>
    </row>
    <row r="489" ht="55" customHeight="1" spans="1:19">
      <c r="A489" s="1" t="str">
        <f>_xlfn.DISPIMG("ID_1322C3A3D83145BCB59C58BC8D377407",1)</f>
        <v>=DISPIMG("ID_1322C3A3D83145BCB59C58BC8D377407",1)</v>
      </c>
      <c r="B489" t="s">
        <v>1488</v>
      </c>
      <c r="C489" t="s">
        <v>1489</v>
      </c>
      <c r="D489" t="s">
        <v>108</v>
      </c>
      <c r="E489" t="s">
        <v>739</v>
      </c>
      <c r="F489" t="s">
        <v>212</v>
      </c>
      <c r="G489" t="s">
        <v>300</v>
      </c>
      <c r="H489" t="s">
        <v>22</v>
      </c>
      <c r="I489" t="s">
        <v>189</v>
      </c>
      <c r="J489" t="s">
        <v>26</v>
      </c>
      <c r="K489" t="s">
        <v>27</v>
      </c>
      <c r="L489" t="s">
        <v>28</v>
      </c>
      <c r="M489" t="s">
        <v>93</v>
      </c>
      <c r="N489" t="s">
        <v>30</v>
      </c>
      <c r="O489" t="s">
        <v>31</v>
      </c>
      <c r="P489" t="s">
        <v>756</v>
      </c>
      <c r="Q489" t="s">
        <v>884</v>
      </c>
      <c r="R489" t="s">
        <v>885</v>
      </c>
      <c r="S489" t="s">
        <v>1490</v>
      </c>
    </row>
    <row r="490" ht="55" customHeight="1" spans="1:19">
      <c r="A490" s="1" t="str">
        <f>_xlfn.DISPIMG("ID_D5A1D4C811664F368B03B47D2390A0E1",1)</f>
        <v>=DISPIMG("ID_D5A1D4C811664F368B03B47D2390A0E1",1)</v>
      </c>
      <c r="B490" t="s">
        <v>47</v>
      </c>
      <c r="C490" t="s">
        <v>1156</v>
      </c>
      <c r="D490" t="s">
        <v>499</v>
      </c>
      <c r="E490" t="s">
        <v>392</v>
      </c>
      <c r="F490" t="s">
        <v>51</v>
      </c>
      <c r="G490" t="s">
        <v>431</v>
      </c>
      <c r="H490" t="s">
        <v>392</v>
      </c>
      <c r="I490" t="s">
        <v>25</v>
      </c>
      <c r="J490" t="s">
        <v>26</v>
      </c>
      <c r="K490" t="s">
        <v>27</v>
      </c>
      <c r="L490" t="s">
        <v>74</v>
      </c>
      <c r="M490" t="s">
        <v>29</v>
      </c>
      <c r="N490" t="s">
        <v>30</v>
      </c>
      <c r="O490" t="s">
        <v>31</v>
      </c>
      <c r="P490" t="s">
        <v>128</v>
      </c>
      <c r="Q490" t="s">
        <v>297</v>
      </c>
      <c r="R490" t="s">
        <v>56</v>
      </c>
      <c r="S490" t="s">
        <v>1491</v>
      </c>
    </row>
    <row r="491" ht="55" customHeight="1" spans="1:19">
      <c r="A491" s="1" t="str">
        <f>_xlfn.DISPIMG("ID_8B43C52F5FB34A4A92650AF136E8A31A",1)</f>
        <v>=DISPIMG("ID_8B43C52F5FB34A4A92650AF136E8A31A",1)</v>
      </c>
      <c r="B491" t="s">
        <v>458</v>
      </c>
      <c r="C491" t="s">
        <v>510</v>
      </c>
      <c r="D491" t="s">
        <v>1391</v>
      </c>
      <c r="E491" t="s">
        <v>72</v>
      </c>
      <c r="F491" t="s">
        <v>173</v>
      </c>
      <c r="G491" t="s">
        <v>1492</v>
      </c>
      <c r="H491" t="s">
        <v>72</v>
      </c>
      <c r="I491" t="s">
        <v>175</v>
      </c>
      <c r="J491" t="s">
        <v>26</v>
      </c>
      <c r="K491" t="s">
        <v>27</v>
      </c>
      <c r="L491" t="s">
        <v>28</v>
      </c>
      <c r="M491" t="s">
        <v>93</v>
      </c>
      <c r="N491" t="s">
        <v>64</v>
      </c>
      <c r="O491" t="s">
        <v>31</v>
      </c>
      <c r="P491" t="s">
        <v>75</v>
      </c>
      <c r="Q491" t="s">
        <v>113</v>
      </c>
      <c r="R491" t="s">
        <v>618</v>
      </c>
      <c r="S491" t="s">
        <v>1493</v>
      </c>
    </row>
    <row r="492" ht="55" customHeight="1" spans="1:19">
      <c r="A492" s="1" t="str">
        <f>_xlfn.DISPIMG("ID_9E7E8E311D5242BDB40885543E72B13A",1)</f>
        <v>=DISPIMG("ID_9E7E8E311D5242BDB40885543E72B13A",1)</v>
      </c>
      <c r="B492" t="s">
        <v>257</v>
      </c>
      <c r="C492" t="s">
        <v>591</v>
      </c>
      <c r="D492" t="s">
        <v>499</v>
      </c>
      <c r="E492" t="s">
        <v>119</v>
      </c>
      <c r="F492" t="s">
        <v>51</v>
      </c>
      <c r="G492" t="s">
        <v>174</v>
      </c>
      <c r="H492" t="s">
        <v>119</v>
      </c>
      <c r="I492" t="s">
        <v>25</v>
      </c>
      <c r="J492" t="s">
        <v>26</v>
      </c>
      <c r="K492" t="s">
        <v>27</v>
      </c>
      <c r="L492" t="s">
        <v>74</v>
      </c>
      <c r="M492" t="s">
        <v>29</v>
      </c>
      <c r="N492" t="s">
        <v>661</v>
      </c>
      <c r="O492" t="s">
        <v>31</v>
      </c>
      <c r="P492" t="s">
        <v>1304</v>
      </c>
      <c r="Q492" t="s">
        <v>677</v>
      </c>
      <c r="R492" t="s">
        <v>263</v>
      </c>
      <c r="S492" t="s">
        <v>1494</v>
      </c>
    </row>
    <row r="493" ht="55" customHeight="1" spans="1:19">
      <c r="A493" s="1" t="str">
        <f>_xlfn.DISPIMG("ID_B66BC057588B487393F709A6F68914DF",1)</f>
        <v>=DISPIMG("ID_B66BC057588B487393F709A6F68914DF",1)</v>
      </c>
      <c r="B493" t="s">
        <v>441</v>
      </c>
      <c r="C493" t="s">
        <v>654</v>
      </c>
      <c r="D493" t="s">
        <v>60</v>
      </c>
      <c r="E493" t="s">
        <v>61</v>
      </c>
      <c r="F493" t="s">
        <v>162</v>
      </c>
      <c r="G493" t="s">
        <v>312</v>
      </c>
      <c r="H493" t="s">
        <v>63</v>
      </c>
      <c r="I493" t="s">
        <v>165</v>
      </c>
      <c r="J493" t="s">
        <v>26</v>
      </c>
      <c r="K493" t="s">
        <v>27</v>
      </c>
      <c r="L493" t="s">
        <v>28</v>
      </c>
      <c r="M493" t="s">
        <v>166</v>
      </c>
      <c r="N493" t="s">
        <v>30</v>
      </c>
      <c r="O493" t="s">
        <v>31</v>
      </c>
      <c r="P493" t="s">
        <v>65</v>
      </c>
      <c r="Q493" t="s">
        <v>468</v>
      </c>
      <c r="R493" t="s">
        <v>168</v>
      </c>
      <c r="S493" t="s">
        <v>1495</v>
      </c>
    </row>
    <row r="494" ht="55" customHeight="1" spans="1:19">
      <c r="A494" s="1" t="str">
        <f>_xlfn.DISPIMG("ID_878566CA19DE4718A1B698F80ABF2F15",1)</f>
        <v>=DISPIMG("ID_878566CA19DE4718A1B698F80ABF2F15",1)</v>
      </c>
      <c r="B494" t="s">
        <v>1496</v>
      </c>
      <c r="C494" t="s">
        <v>1497</v>
      </c>
      <c r="D494" t="s">
        <v>1498</v>
      </c>
      <c r="E494" t="s">
        <v>135</v>
      </c>
      <c r="F494" t="s">
        <v>512</v>
      </c>
      <c r="G494" t="s">
        <v>284</v>
      </c>
      <c r="H494" t="s">
        <v>135</v>
      </c>
      <c r="I494" t="s">
        <v>25</v>
      </c>
      <c r="J494" t="s">
        <v>230</v>
      </c>
      <c r="K494" t="s">
        <v>27</v>
      </c>
      <c r="L494" t="s">
        <v>74</v>
      </c>
      <c r="M494" t="s">
        <v>513</v>
      </c>
      <c r="N494" t="s">
        <v>64</v>
      </c>
      <c r="O494" t="s">
        <v>31</v>
      </c>
      <c r="P494" t="s">
        <v>75</v>
      </c>
      <c r="Q494" t="s">
        <v>155</v>
      </c>
      <c r="R494" t="s">
        <v>1499</v>
      </c>
      <c r="S494" t="s">
        <v>1500</v>
      </c>
    </row>
    <row r="495" ht="55" customHeight="1" spans="1:19">
      <c r="A495" s="1" t="str">
        <f>_xlfn.DISPIMG("ID_193BB1FBAC854D91818034952AF0A0B2",1)</f>
        <v>=DISPIMG("ID_193BB1FBAC854D91818034952AF0A0B2",1)</v>
      </c>
      <c r="B495" t="s">
        <v>141</v>
      </c>
      <c r="C495" t="s">
        <v>1501</v>
      </c>
      <c r="D495" t="s">
        <v>375</v>
      </c>
      <c r="E495" t="s">
        <v>100</v>
      </c>
      <c r="F495" t="s">
        <v>40</v>
      </c>
      <c r="G495" t="s">
        <v>1442</v>
      </c>
      <c r="H495" t="s">
        <v>100</v>
      </c>
      <c r="I495" t="s">
        <v>42</v>
      </c>
      <c r="J495" t="s">
        <v>26</v>
      </c>
      <c r="K495" t="s">
        <v>27</v>
      </c>
      <c r="L495" t="s">
        <v>74</v>
      </c>
      <c r="M495" t="s">
        <v>29</v>
      </c>
      <c r="N495" t="s">
        <v>30</v>
      </c>
      <c r="O495" t="s">
        <v>31</v>
      </c>
      <c r="P495" t="s">
        <v>221</v>
      </c>
      <c r="Q495" t="s">
        <v>843</v>
      </c>
      <c r="R495" t="s">
        <v>86</v>
      </c>
      <c r="S495" t="s">
        <v>1502</v>
      </c>
    </row>
    <row r="496" ht="55" customHeight="1" spans="1:19">
      <c r="A496" s="1" t="str">
        <f>_xlfn.DISPIMG("ID_4DBC4819C0F04E609DFB782549B0D3B2",1)</f>
        <v>=DISPIMG("ID_4DBC4819C0F04E609DFB782549B0D3B2",1)</v>
      </c>
      <c r="B496" t="s">
        <v>257</v>
      </c>
      <c r="C496" t="s">
        <v>1159</v>
      </c>
      <c r="D496" t="s">
        <v>460</v>
      </c>
      <c r="E496" t="s">
        <v>84</v>
      </c>
      <c r="F496" t="s">
        <v>51</v>
      </c>
      <c r="G496" t="s">
        <v>101</v>
      </c>
      <c r="H496" t="s">
        <v>84</v>
      </c>
      <c r="I496" t="s">
        <v>25</v>
      </c>
      <c r="J496" t="s">
        <v>26</v>
      </c>
      <c r="K496" t="s">
        <v>27</v>
      </c>
      <c r="L496" t="s">
        <v>74</v>
      </c>
      <c r="M496" t="s">
        <v>29</v>
      </c>
      <c r="N496" t="s">
        <v>30</v>
      </c>
      <c r="O496" t="s">
        <v>31</v>
      </c>
      <c r="P496" t="s">
        <v>112</v>
      </c>
      <c r="Q496" t="s">
        <v>103</v>
      </c>
      <c r="R496" t="s">
        <v>263</v>
      </c>
      <c r="S496" t="s">
        <v>1503</v>
      </c>
    </row>
    <row r="497" ht="55" customHeight="1" spans="1:19">
      <c r="A497" s="1" t="str">
        <f>_xlfn.DISPIMG("ID_077E865A662D4E3F92D5AA721A753154",1)</f>
        <v>=DISPIMG("ID_077E865A662D4E3F92D5AA721A753154",1)</v>
      </c>
      <c r="B497" t="s">
        <v>1504</v>
      </c>
      <c r="C497" t="s">
        <v>258</v>
      </c>
      <c r="D497" t="s">
        <v>412</v>
      </c>
      <c r="E497" t="s">
        <v>413</v>
      </c>
      <c r="F497" t="s">
        <v>91</v>
      </c>
      <c r="G497" t="s">
        <v>120</v>
      </c>
      <c r="H497" t="s">
        <v>100</v>
      </c>
      <c r="I497" t="s">
        <v>25</v>
      </c>
      <c r="J497" t="s">
        <v>26</v>
      </c>
      <c r="K497" t="s">
        <v>27</v>
      </c>
      <c r="L497" t="s">
        <v>74</v>
      </c>
      <c r="M497" t="s">
        <v>93</v>
      </c>
      <c r="N497" t="s">
        <v>30</v>
      </c>
      <c r="O497" t="s">
        <v>31</v>
      </c>
      <c r="P497" t="s">
        <v>65</v>
      </c>
      <c r="Q497" t="s">
        <v>1505</v>
      </c>
      <c r="R497" t="s">
        <v>1506</v>
      </c>
      <c r="S497" t="s">
        <v>1507</v>
      </c>
    </row>
    <row r="498" ht="55" customHeight="1" spans="1:19">
      <c r="A498" s="1" t="str">
        <f>_xlfn.DISPIMG("ID_9B6C6F1A8D80469F8EB77A44D24C3605",1)</f>
        <v>=DISPIMG("ID_9B6C6F1A8D80469F8EB77A44D24C3605",1)</v>
      </c>
      <c r="B498" t="s">
        <v>1482</v>
      </c>
      <c r="C498" t="s">
        <v>1222</v>
      </c>
      <c r="D498" t="s">
        <v>1508</v>
      </c>
      <c r="E498" t="s">
        <v>211</v>
      </c>
      <c r="F498" t="s">
        <v>162</v>
      </c>
      <c r="G498" t="s">
        <v>431</v>
      </c>
      <c r="H498" t="s">
        <v>211</v>
      </c>
      <c r="I498" t="s">
        <v>175</v>
      </c>
      <c r="J498" t="s">
        <v>26</v>
      </c>
      <c r="K498" t="s">
        <v>27</v>
      </c>
      <c r="L498" t="s">
        <v>74</v>
      </c>
      <c r="M498" t="s">
        <v>166</v>
      </c>
      <c r="N498" t="s">
        <v>30</v>
      </c>
      <c r="O498" t="s">
        <v>31</v>
      </c>
      <c r="P498" t="s">
        <v>138</v>
      </c>
      <c r="Q498" t="s">
        <v>292</v>
      </c>
      <c r="R498" t="s">
        <v>1483</v>
      </c>
      <c r="S498" t="s">
        <v>1509</v>
      </c>
    </row>
    <row r="499" ht="55" customHeight="1" spans="1:19">
      <c r="A499" s="1" t="str">
        <f>_xlfn.DISPIMG("ID_6D795DC5F40644289F41ABB5B0DC091A",1)</f>
        <v>=DISPIMG("ID_6D795DC5F40644289F41ABB5B0DC091A",1)</v>
      </c>
      <c r="B499" t="s">
        <v>1510</v>
      </c>
      <c r="C499" t="s">
        <v>615</v>
      </c>
      <c r="D499" t="s">
        <v>1498</v>
      </c>
      <c r="E499" t="s">
        <v>445</v>
      </c>
      <c r="F499" t="s">
        <v>512</v>
      </c>
      <c r="G499" t="s">
        <v>402</v>
      </c>
      <c r="H499" t="s">
        <v>445</v>
      </c>
      <c r="I499" t="s">
        <v>137</v>
      </c>
      <c r="J499" t="s">
        <v>26</v>
      </c>
      <c r="K499" t="s">
        <v>27</v>
      </c>
      <c r="L499" t="s">
        <v>28</v>
      </c>
      <c r="M499" t="s">
        <v>513</v>
      </c>
      <c r="N499" t="s">
        <v>30</v>
      </c>
      <c r="O499" t="s">
        <v>31</v>
      </c>
      <c r="P499" t="s">
        <v>301</v>
      </c>
      <c r="Q499" t="s">
        <v>113</v>
      </c>
      <c r="R499" t="s">
        <v>147</v>
      </c>
      <c r="S499" t="s">
        <v>1511</v>
      </c>
    </row>
    <row r="500" ht="55" customHeight="1" spans="1:19">
      <c r="A500" s="1" t="str">
        <f>_xlfn.DISPIMG("ID_2905CE44E52648D485228A753EB4787D",1)</f>
        <v>=DISPIMG("ID_2905CE44E52648D485228A753EB4787D",1)</v>
      </c>
      <c r="B500" t="s">
        <v>257</v>
      </c>
      <c r="C500" t="s">
        <v>126</v>
      </c>
      <c r="D500" t="s">
        <v>664</v>
      </c>
      <c r="E500" t="s">
        <v>305</v>
      </c>
      <c r="F500" t="s">
        <v>51</v>
      </c>
      <c r="G500" t="s">
        <v>670</v>
      </c>
      <c r="H500" t="s">
        <v>50</v>
      </c>
      <c r="I500" t="s">
        <v>25</v>
      </c>
      <c r="J500" t="s">
        <v>26</v>
      </c>
      <c r="K500" t="s">
        <v>27</v>
      </c>
      <c r="L500" t="s">
        <v>74</v>
      </c>
      <c r="M500" t="s">
        <v>29</v>
      </c>
      <c r="N500" t="s">
        <v>30</v>
      </c>
      <c r="O500" t="s">
        <v>31</v>
      </c>
      <c r="P500" t="s">
        <v>54</v>
      </c>
      <c r="Q500" t="s">
        <v>55</v>
      </c>
      <c r="R500" t="s">
        <v>263</v>
      </c>
      <c r="S500" t="s">
        <v>1512</v>
      </c>
    </row>
    <row r="501" ht="55" customHeight="1" spans="1:19">
      <c r="A501" s="1" t="str">
        <f>_xlfn.DISPIMG("ID_A67CD1321A544DBA8B7D5EB61A1DA3B2",1)</f>
        <v>=DISPIMG("ID_A67CD1321A544DBA8B7D5EB61A1DA3B2",1)</v>
      </c>
      <c r="B501" t="s">
        <v>116</v>
      </c>
      <c r="C501" t="s">
        <v>1322</v>
      </c>
      <c r="D501" t="s">
        <v>368</v>
      </c>
      <c r="E501" t="s">
        <v>135</v>
      </c>
      <c r="F501" t="s">
        <v>40</v>
      </c>
      <c r="G501" t="s">
        <v>41</v>
      </c>
      <c r="H501" t="s">
        <v>445</v>
      </c>
      <c r="I501" t="s">
        <v>42</v>
      </c>
      <c r="J501" t="s">
        <v>26</v>
      </c>
      <c r="K501" t="s">
        <v>27</v>
      </c>
      <c r="L501" t="s">
        <v>28</v>
      </c>
      <c r="M501" t="s">
        <v>29</v>
      </c>
      <c r="N501" t="s">
        <v>30</v>
      </c>
      <c r="O501" t="s">
        <v>31</v>
      </c>
      <c r="P501" t="s">
        <v>1513</v>
      </c>
      <c r="Q501" t="s">
        <v>553</v>
      </c>
      <c r="R501" t="s">
        <v>45</v>
      </c>
      <c r="S501" t="s">
        <v>1514</v>
      </c>
    </row>
    <row r="502" ht="55" customHeight="1" spans="1:19">
      <c r="A502" s="1" t="str">
        <f>_xlfn.DISPIMG("ID_6FC4495A092B4EB5BCFE72F6A48305AF",1)</f>
        <v>=DISPIMG("ID_6FC4495A092B4EB5BCFE72F6A48305AF",1)</v>
      </c>
      <c r="B502" t="s">
        <v>257</v>
      </c>
      <c r="C502" t="s">
        <v>1404</v>
      </c>
      <c r="D502" t="s">
        <v>267</v>
      </c>
      <c r="E502" t="s">
        <v>109</v>
      </c>
      <c r="F502" t="s">
        <v>51</v>
      </c>
      <c r="G502" t="s">
        <v>1515</v>
      </c>
      <c r="H502" t="s">
        <v>111</v>
      </c>
      <c r="I502" t="s">
        <v>25</v>
      </c>
      <c r="J502" t="s">
        <v>26</v>
      </c>
      <c r="K502" t="s">
        <v>27</v>
      </c>
      <c r="L502" t="s">
        <v>231</v>
      </c>
      <c r="M502" t="s">
        <v>29</v>
      </c>
      <c r="N502" t="s">
        <v>30</v>
      </c>
      <c r="O502" t="s">
        <v>31</v>
      </c>
      <c r="P502" t="s">
        <v>138</v>
      </c>
      <c r="Q502" t="s">
        <v>795</v>
      </c>
      <c r="R502" t="s">
        <v>147</v>
      </c>
      <c r="S502" t="s">
        <v>1516</v>
      </c>
    </row>
    <row r="503" ht="55" customHeight="1" spans="1:19">
      <c r="A503" s="1" t="str">
        <f>_xlfn.DISPIMG("ID_4B72ACB20B504B97B557E1FDF8ADF5FF",1)</f>
        <v>=DISPIMG("ID_4B72ACB20B504B97B557E1FDF8ADF5FF",1)</v>
      </c>
      <c r="B503" t="s">
        <v>257</v>
      </c>
      <c r="C503" t="s">
        <v>434</v>
      </c>
      <c r="D503" t="s">
        <v>267</v>
      </c>
      <c r="E503" t="s">
        <v>109</v>
      </c>
      <c r="F503" t="s">
        <v>51</v>
      </c>
      <c r="G503" t="s">
        <v>665</v>
      </c>
      <c r="H503" t="s">
        <v>111</v>
      </c>
      <c r="I503" t="s">
        <v>25</v>
      </c>
      <c r="J503" t="s">
        <v>26</v>
      </c>
      <c r="K503" t="s">
        <v>27</v>
      </c>
      <c r="L503" t="s">
        <v>28</v>
      </c>
      <c r="M503" t="s">
        <v>29</v>
      </c>
      <c r="N503" t="s">
        <v>30</v>
      </c>
      <c r="O503" t="s">
        <v>31</v>
      </c>
      <c r="P503" t="s">
        <v>128</v>
      </c>
      <c r="Q503" t="s">
        <v>879</v>
      </c>
      <c r="R503" t="s">
        <v>263</v>
      </c>
      <c r="S503" t="s">
        <v>1517</v>
      </c>
    </row>
    <row r="504" ht="55" customHeight="1" spans="1:19">
      <c r="A504" s="1" t="str">
        <f>_xlfn.DISPIMG("ID_7EC920713A2D47228808E796F5A77CCB",1)</f>
        <v>=DISPIMG("ID_7EC920713A2D47228808E796F5A77CCB",1)</v>
      </c>
      <c r="B504" t="s">
        <v>366</v>
      </c>
      <c r="C504" t="s">
        <v>715</v>
      </c>
      <c r="D504" t="s">
        <v>466</v>
      </c>
      <c r="E504" t="s">
        <v>357</v>
      </c>
      <c r="F504" t="s">
        <v>245</v>
      </c>
      <c r="G504" t="s">
        <v>724</v>
      </c>
      <c r="H504" t="s">
        <v>357</v>
      </c>
      <c r="I504" t="s">
        <v>165</v>
      </c>
      <c r="J504" t="s">
        <v>26</v>
      </c>
      <c r="K504" t="s">
        <v>27</v>
      </c>
      <c r="L504" t="s">
        <v>231</v>
      </c>
      <c r="M504" t="s">
        <v>93</v>
      </c>
      <c r="N504" t="s">
        <v>30</v>
      </c>
      <c r="O504" t="s">
        <v>31</v>
      </c>
      <c r="P504" t="s">
        <v>138</v>
      </c>
      <c r="Q504" t="s">
        <v>297</v>
      </c>
      <c r="R504" t="s">
        <v>370</v>
      </c>
      <c r="S504" t="s">
        <v>1518</v>
      </c>
    </row>
    <row r="505" ht="55" customHeight="1" spans="1:19">
      <c r="A505" s="1" t="str">
        <f>_xlfn.DISPIMG("ID_9CA761F6C2E4410597D123CE8C493D03",1)</f>
        <v>=DISPIMG("ID_9CA761F6C2E4410597D123CE8C493D03",1)</v>
      </c>
      <c r="B505" t="s">
        <v>178</v>
      </c>
      <c r="C505" t="s">
        <v>1519</v>
      </c>
      <c r="D505" t="s">
        <v>644</v>
      </c>
      <c r="E505" t="s">
        <v>484</v>
      </c>
      <c r="F505" t="s">
        <v>51</v>
      </c>
      <c r="G505" t="s">
        <v>402</v>
      </c>
      <c r="H505" t="s">
        <v>392</v>
      </c>
      <c r="I505" t="s">
        <v>42</v>
      </c>
      <c r="J505" t="s">
        <v>26</v>
      </c>
      <c r="K505" t="s">
        <v>27</v>
      </c>
      <c r="L505" t="s">
        <v>28</v>
      </c>
      <c r="M505" t="s">
        <v>29</v>
      </c>
      <c r="N505" t="s">
        <v>30</v>
      </c>
      <c r="O505" t="s">
        <v>31</v>
      </c>
      <c r="P505" t="s">
        <v>301</v>
      </c>
      <c r="Q505" t="s">
        <v>468</v>
      </c>
      <c r="R505" t="s">
        <v>147</v>
      </c>
      <c r="S505" t="s">
        <v>1520</v>
      </c>
    </row>
    <row r="506" ht="55" customHeight="1" spans="1:19">
      <c r="A506" s="1" t="str">
        <f>_xlfn.DISPIMG("ID_E3409713535347C99146022EE0767F66",1)</f>
        <v>=DISPIMG("ID_E3409713535347C99146022EE0767F66",1)</v>
      </c>
      <c r="B506" t="s">
        <v>97</v>
      </c>
      <c r="C506" t="s">
        <v>1519</v>
      </c>
      <c r="D506" t="s">
        <v>99</v>
      </c>
      <c r="E506" t="s">
        <v>100</v>
      </c>
      <c r="F506" t="s">
        <v>51</v>
      </c>
      <c r="G506" t="s">
        <v>690</v>
      </c>
      <c r="H506" t="s">
        <v>100</v>
      </c>
      <c r="I506" t="s">
        <v>42</v>
      </c>
      <c r="J506" t="s">
        <v>26</v>
      </c>
      <c r="K506" t="s">
        <v>27</v>
      </c>
      <c r="L506" t="s">
        <v>53</v>
      </c>
      <c r="M506" t="s">
        <v>29</v>
      </c>
      <c r="N506" t="s">
        <v>30</v>
      </c>
      <c r="O506" t="s">
        <v>31</v>
      </c>
      <c r="P506" t="s">
        <v>491</v>
      </c>
      <c r="Q506" t="s">
        <v>994</v>
      </c>
      <c r="R506" t="s">
        <v>104</v>
      </c>
      <c r="S506" t="s">
        <v>1521</v>
      </c>
    </row>
    <row r="507" ht="55" customHeight="1" spans="1:19">
      <c r="A507" s="1" t="str">
        <f>_xlfn.DISPIMG("ID_9BA1461E52CC41F4B73B37E7E076E894",1)</f>
        <v>=DISPIMG("ID_9BA1461E52CC41F4B73B37E7E076E894",1)</v>
      </c>
      <c r="B507" t="s">
        <v>1522</v>
      </c>
      <c r="C507" t="s">
        <v>1185</v>
      </c>
      <c r="D507" t="s">
        <v>253</v>
      </c>
      <c r="E507" t="s">
        <v>161</v>
      </c>
      <c r="F507" t="s">
        <v>40</v>
      </c>
      <c r="G507" t="s">
        <v>1109</v>
      </c>
      <c r="H507" t="s">
        <v>164</v>
      </c>
      <c r="I507" t="s">
        <v>42</v>
      </c>
      <c r="J507" t="s">
        <v>26</v>
      </c>
      <c r="K507" t="s">
        <v>27</v>
      </c>
      <c r="L507" t="s">
        <v>74</v>
      </c>
      <c r="M507" t="s">
        <v>29</v>
      </c>
      <c r="N507" t="s">
        <v>64</v>
      </c>
      <c r="O507" t="s">
        <v>31</v>
      </c>
      <c r="P507" t="s">
        <v>65</v>
      </c>
      <c r="Q507" t="s">
        <v>1523</v>
      </c>
      <c r="R507" t="s">
        <v>409</v>
      </c>
      <c r="S507" t="s">
        <v>1524</v>
      </c>
    </row>
    <row r="508" ht="55" customHeight="1" spans="1:19">
      <c r="A508" s="1" t="str">
        <f>_xlfn.DISPIMG("ID_505ED1ED4DF0463298A767BE0D8510FC",1)</f>
        <v>=DISPIMG("ID_505ED1ED4DF0463298A767BE0D8510FC",1)</v>
      </c>
      <c r="B508" t="s">
        <v>1525</v>
      </c>
      <c r="C508" t="s">
        <v>1526</v>
      </c>
      <c r="D508" t="s">
        <v>267</v>
      </c>
      <c r="E508" t="s">
        <v>109</v>
      </c>
      <c r="F508" t="s">
        <v>989</v>
      </c>
      <c r="G508" t="s">
        <v>312</v>
      </c>
      <c r="H508" t="s">
        <v>111</v>
      </c>
      <c r="I508" t="s">
        <v>487</v>
      </c>
      <c r="J508" t="s">
        <v>26</v>
      </c>
      <c r="K508" t="s">
        <v>27</v>
      </c>
      <c r="L508" t="s">
        <v>74</v>
      </c>
      <c r="M508" t="s">
        <v>513</v>
      </c>
      <c r="N508" t="s">
        <v>30</v>
      </c>
      <c r="O508" t="s">
        <v>31</v>
      </c>
      <c r="P508" t="s">
        <v>146</v>
      </c>
      <c r="Q508" t="s">
        <v>76</v>
      </c>
      <c r="R508" t="s">
        <v>1527</v>
      </c>
      <c r="S508" t="s">
        <v>1528</v>
      </c>
    </row>
    <row r="509" ht="55" customHeight="1" spans="1:19">
      <c r="A509" s="1" t="str">
        <f>_xlfn.DISPIMG("ID_18A7310756CD450CA6014264820CB379",1)</f>
        <v>=DISPIMG("ID_18A7310756CD450CA6014264820CB379",1)</v>
      </c>
      <c r="B509" t="s">
        <v>69</v>
      </c>
      <c r="C509" t="s">
        <v>299</v>
      </c>
      <c r="D509" t="s">
        <v>327</v>
      </c>
      <c r="E509" t="s">
        <v>484</v>
      </c>
      <c r="F509" t="s">
        <v>40</v>
      </c>
      <c r="G509" t="s">
        <v>41</v>
      </c>
      <c r="H509" t="s">
        <v>392</v>
      </c>
      <c r="I509" t="s">
        <v>25</v>
      </c>
      <c r="J509" t="s">
        <v>26</v>
      </c>
      <c r="K509" t="s">
        <v>27</v>
      </c>
      <c r="L509" t="s">
        <v>28</v>
      </c>
      <c r="M509" t="s">
        <v>29</v>
      </c>
      <c r="N509" t="s">
        <v>64</v>
      </c>
      <c r="O509" t="s">
        <v>31</v>
      </c>
      <c r="P509" t="s">
        <v>221</v>
      </c>
      <c r="Q509" t="s">
        <v>297</v>
      </c>
      <c r="R509" t="s">
        <v>77</v>
      </c>
      <c r="S509" t="s">
        <v>1529</v>
      </c>
    </row>
    <row r="510" ht="55" customHeight="1" spans="1:19">
      <c r="A510" s="1" t="str">
        <f>_xlfn.DISPIMG("ID_FB213CFB485348478564BCB1C6E65FBA",1)</f>
        <v>=DISPIMG("ID_FB213CFB485348478564BCB1C6E65FBA",1)</v>
      </c>
      <c r="B510" t="s">
        <v>366</v>
      </c>
      <c r="C510" t="s">
        <v>374</v>
      </c>
      <c r="D510" t="s">
        <v>577</v>
      </c>
      <c r="E510" t="s">
        <v>900</v>
      </c>
      <c r="F510" t="s">
        <v>245</v>
      </c>
      <c r="G510" t="s">
        <v>246</v>
      </c>
      <c r="H510" t="s">
        <v>731</v>
      </c>
      <c r="I510" t="s">
        <v>165</v>
      </c>
      <c r="J510" t="s">
        <v>26</v>
      </c>
      <c r="K510" t="s">
        <v>27</v>
      </c>
      <c r="L510" t="s">
        <v>557</v>
      </c>
      <c r="M510" t="s">
        <v>93</v>
      </c>
      <c r="N510" t="s">
        <v>30</v>
      </c>
      <c r="O510" t="s">
        <v>31</v>
      </c>
      <c r="P510" t="s">
        <v>247</v>
      </c>
      <c r="Q510" t="s">
        <v>76</v>
      </c>
      <c r="R510" t="s">
        <v>370</v>
      </c>
      <c r="S510" t="s">
        <v>1530</v>
      </c>
    </row>
    <row r="511" ht="55" customHeight="1" spans="1:19">
      <c r="A511" s="1" t="str">
        <f>_xlfn.DISPIMG("ID_6808973ACADB4C9C973553F515A106E3",1)</f>
        <v>=DISPIMG("ID_6808973ACADB4C9C973553F515A106E3",1)</v>
      </c>
      <c r="B511" t="s">
        <v>794</v>
      </c>
      <c r="C511" t="s">
        <v>289</v>
      </c>
      <c r="D511" t="s">
        <v>524</v>
      </c>
      <c r="E511" t="s">
        <v>63</v>
      </c>
      <c r="F511" t="s">
        <v>290</v>
      </c>
      <c r="G511" t="s">
        <v>152</v>
      </c>
      <c r="H511" t="s">
        <v>238</v>
      </c>
      <c r="I511" t="s">
        <v>42</v>
      </c>
      <c r="J511" t="s">
        <v>26</v>
      </c>
      <c r="K511" t="s">
        <v>27</v>
      </c>
      <c r="L511" t="s">
        <v>53</v>
      </c>
      <c r="M511" t="s">
        <v>93</v>
      </c>
      <c r="N511" t="s">
        <v>30</v>
      </c>
      <c r="O511" t="s">
        <v>31</v>
      </c>
      <c r="P511" t="s">
        <v>1531</v>
      </c>
      <c r="Q511" t="s">
        <v>248</v>
      </c>
      <c r="R511" t="s">
        <v>130</v>
      </c>
      <c r="S511" t="s">
        <v>1532</v>
      </c>
    </row>
    <row r="512" ht="55" customHeight="1" spans="1:19">
      <c r="A512" s="1" t="str">
        <f>_xlfn.DISPIMG("ID_B2C4C719968A4E31BCDB00B37E3C53E2",1)</f>
        <v>=DISPIMG("ID_B2C4C719968A4E31BCDB00B37E3C53E2",1)</v>
      </c>
      <c r="B512" t="s">
        <v>877</v>
      </c>
      <c r="C512" t="s">
        <v>459</v>
      </c>
      <c r="D512" t="s">
        <v>400</v>
      </c>
      <c r="E512" t="s">
        <v>1095</v>
      </c>
      <c r="F512" t="s">
        <v>878</v>
      </c>
      <c r="G512" t="s">
        <v>621</v>
      </c>
      <c r="H512" t="s">
        <v>1095</v>
      </c>
      <c r="I512" t="s">
        <v>189</v>
      </c>
      <c r="J512" t="s">
        <v>26</v>
      </c>
      <c r="K512" t="s">
        <v>27</v>
      </c>
      <c r="L512" t="s">
        <v>28</v>
      </c>
      <c r="M512" t="s">
        <v>93</v>
      </c>
      <c r="N512" t="s">
        <v>30</v>
      </c>
      <c r="O512" t="s">
        <v>31</v>
      </c>
      <c r="P512" t="s">
        <v>138</v>
      </c>
      <c r="Q512" t="s">
        <v>994</v>
      </c>
      <c r="R512" t="s">
        <v>147</v>
      </c>
      <c r="S512" t="s">
        <v>1533</v>
      </c>
    </row>
    <row r="513" ht="55" customHeight="1" spans="1:19">
      <c r="A513" s="1" t="str">
        <f>_xlfn.DISPIMG("ID_87302F27870049458C390EA7DEAD9400",1)</f>
        <v>=DISPIMG("ID_87302F27870049458C390EA7DEAD9400",1)</v>
      </c>
      <c r="B513" t="s">
        <v>1298</v>
      </c>
      <c r="C513" t="s">
        <v>1534</v>
      </c>
      <c r="D513" t="s">
        <v>581</v>
      </c>
      <c r="E513" t="s">
        <v>109</v>
      </c>
      <c r="F513" t="s">
        <v>40</v>
      </c>
      <c r="G513" t="s">
        <v>300</v>
      </c>
      <c r="H513" t="s">
        <v>111</v>
      </c>
      <c r="I513" t="s">
        <v>42</v>
      </c>
      <c r="J513" t="s">
        <v>26</v>
      </c>
      <c r="K513" t="s">
        <v>27</v>
      </c>
      <c r="L513" t="s">
        <v>74</v>
      </c>
      <c r="M513" t="s">
        <v>29</v>
      </c>
      <c r="N513" t="s">
        <v>30</v>
      </c>
      <c r="O513" t="s">
        <v>31</v>
      </c>
      <c r="P513" t="s">
        <v>138</v>
      </c>
      <c r="Q513" t="s">
        <v>994</v>
      </c>
      <c r="R513" t="s">
        <v>147</v>
      </c>
      <c r="S513" t="s">
        <v>1535</v>
      </c>
    </row>
    <row r="514" ht="55" customHeight="1" spans="1:19">
      <c r="A514" s="1" t="str">
        <f>_xlfn.DISPIMG("ID_594704F1357B4CBCB836AE44DF1259CB",1)</f>
        <v>=DISPIMG("ID_594704F1357B4CBCB836AE44DF1259CB",1)</v>
      </c>
      <c r="B514" t="s">
        <v>1536</v>
      </c>
      <c r="C514" t="s">
        <v>913</v>
      </c>
      <c r="D514" t="s">
        <v>349</v>
      </c>
      <c r="E514" t="s">
        <v>84</v>
      </c>
      <c r="F514" t="s">
        <v>91</v>
      </c>
      <c r="G514" t="s">
        <v>638</v>
      </c>
      <c r="H514" t="s">
        <v>84</v>
      </c>
      <c r="I514" t="s">
        <v>189</v>
      </c>
      <c r="J514" t="s">
        <v>26</v>
      </c>
      <c r="K514" t="s">
        <v>27</v>
      </c>
      <c r="L514" t="s">
        <v>231</v>
      </c>
      <c r="M514" t="s">
        <v>93</v>
      </c>
      <c r="N514" t="s">
        <v>64</v>
      </c>
      <c r="O514" t="s">
        <v>31</v>
      </c>
      <c r="P514" t="s">
        <v>75</v>
      </c>
      <c r="Q514" t="s">
        <v>76</v>
      </c>
      <c r="R514" t="s">
        <v>1450</v>
      </c>
      <c r="S514" t="s">
        <v>1537</v>
      </c>
    </row>
    <row r="515" ht="55" customHeight="1" spans="1:19">
      <c r="A515" s="1" t="str">
        <f>_xlfn.DISPIMG("ID_0B251864470C4F04851230D7C4DDAF5F",1)</f>
        <v>=DISPIMG("ID_0B251864470C4F04851230D7C4DDAF5F",1)</v>
      </c>
      <c r="B515" t="s">
        <v>366</v>
      </c>
      <c r="C515" t="s">
        <v>1156</v>
      </c>
      <c r="D515" t="s">
        <v>244</v>
      </c>
      <c r="E515" t="s">
        <v>659</v>
      </c>
      <c r="F515" t="s">
        <v>245</v>
      </c>
      <c r="G515" t="s">
        <v>246</v>
      </c>
      <c r="H515" t="s">
        <v>659</v>
      </c>
      <c r="I515" t="s">
        <v>165</v>
      </c>
      <c r="J515" t="s">
        <v>26</v>
      </c>
      <c r="K515" t="s">
        <v>27</v>
      </c>
      <c r="L515" t="s">
        <v>231</v>
      </c>
      <c r="M515" t="s">
        <v>93</v>
      </c>
      <c r="N515" t="s">
        <v>30</v>
      </c>
      <c r="O515" t="s">
        <v>31</v>
      </c>
      <c r="P515" t="s">
        <v>221</v>
      </c>
      <c r="Q515" t="s">
        <v>297</v>
      </c>
      <c r="R515" t="s">
        <v>370</v>
      </c>
      <c r="S515" t="s">
        <v>1538</v>
      </c>
    </row>
    <row r="516" ht="55" customHeight="1" spans="1:19">
      <c r="A516" s="1" t="str">
        <f>_xlfn.DISPIMG("ID_D5E4126D79C74338A8BD12314F3F8407",1)</f>
        <v>=DISPIMG("ID_D5E4126D79C74338A8BD12314F3F8407",1)</v>
      </c>
      <c r="B516" t="s">
        <v>1539</v>
      </c>
      <c r="C516" t="s">
        <v>498</v>
      </c>
      <c r="D516" t="s">
        <v>454</v>
      </c>
      <c r="E516" t="s">
        <v>135</v>
      </c>
      <c r="F516" t="s">
        <v>989</v>
      </c>
      <c r="G516" t="s">
        <v>431</v>
      </c>
      <c r="H516" t="s">
        <v>445</v>
      </c>
      <c r="I516" t="s">
        <v>487</v>
      </c>
      <c r="J516" t="s">
        <v>26</v>
      </c>
      <c r="K516" t="s">
        <v>27</v>
      </c>
      <c r="L516" t="s">
        <v>74</v>
      </c>
      <c r="M516" t="s">
        <v>513</v>
      </c>
      <c r="N516" t="s">
        <v>30</v>
      </c>
      <c r="O516" t="s">
        <v>31</v>
      </c>
      <c r="P516" t="s">
        <v>463</v>
      </c>
      <c r="Q516" t="s">
        <v>369</v>
      </c>
      <c r="R516" t="s">
        <v>191</v>
      </c>
      <c r="S516" t="s">
        <v>1540</v>
      </c>
    </row>
    <row r="517" ht="55" customHeight="1" spans="1:19">
      <c r="A517" s="1" t="str">
        <f>_xlfn.DISPIMG("ID_E52CC15C3AA84B64A4B1F0B461C5836D",1)</f>
        <v>=DISPIMG("ID_E52CC15C3AA84B64A4B1F0B461C5836D",1)</v>
      </c>
      <c r="B517" t="s">
        <v>1504</v>
      </c>
      <c r="C517" t="s">
        <v>1541</v>
      </c>
      <c r="D517" t="s">
        <v>552</v>
      </c>
      <c r="E517" t="s">
        <v>507</v>
      </c>
      <c r="F517" t="s">
        <v>91</v>
      </c>
      <c r="G517" t="s">
        <v>1542</v>
      </c>
      <c r="H517" t="s">
        <v>135</v>
      </c>
      <c r="I517" t="s">
        <v>25</v>
      </c>
      <c r="J517" t="s">
        <v>26</v>
      </c>
      <c r="K517" t="s">
        <v>27</v>
      </c>
      <c r="L517" t="s">
        <v>28</v>
      </c>
      <c r="M517" t="s">
        <v>93</v>
      </c>
      <c r="N517" t="s">
        <v>30</v>
      </c>
      <c r="O517" t="s">
        <v>31</v>
      </c>
      <c r="P517" t="s">
        <v>75</v>
      </c>
      <c r="Q517" t="s">
        <v>858</v>
      </c>
      <c r="R517" t="s">
        <v>147</v>
      </c>
      <c r="S517" t="s">
        <v>1543</v>
      </c>
    </row>
    <row r="518" ht="55" customHeight="1" spans="1:19">
      <c r="A518" s="1" t="str">
        <f>_xlfn.DISPIMG("ID_988B3885F4A64DB3BE3262B6B47246D1",1)</f>
        <v>=DISPIMG("ID_988B3885F4A64DB3BE3262B6B47246D1",1)</v>
      </c>
      <c r="B518" t="s">
        <v>476</v>
      </c>
      <c r="C518" t="s">
        <v>386</v>
      </c>
      <c r="D518" t="s">
        <v>552</v>
      </c>
      <c r="E518" t="s">
        <v>445</v>
      </c>
      <c r="F518" t="s">
        <v>40</v>
      </c>
      <c r="G518" t="s">
        <v>41</v>
      </c>
      <c r="H518" t="s">
        <v>445</v>
      </c>
      <c r="I518" t="s">
        <v>42</v>
      </c>
      <c r="J518" t="s">
        <v>26</v>
      </c>
      <c r="K518" t="s">
        <v>27</v>
      </c>
      <c r="L518" t="s">
        <v>28</v>
      </c>
      <c r="M518" t="s">
        <v>29</v>
      </c>
      <c r="N518" t="s">
        <v>30</v>
      </c>
      <c r="O518" t="s">
        <v>31</v>
      </c>
      <c r="P518" t="s">
        <v>43</v>
      </c>
      <c r="Q518" t="s">
        <v>76</v>
      </c>
      <c r="R518" t="s">
        <v>114</v>
      </c>
      <c r="S518" t="s">
        <v>1544</v>
      </c>
    </row>
    <row r="519" ht="55" customHeight="1" spans="1:19">
      <c r="A519" s="1" t="str">
        <f>_xlfn.DISPIMG("ID_A7E930D413394D958FA5F3F0B260486D",1)</f>
        <v>=DISPIMG("ID_A7E930D413394D958FA5F3F0B260486D",1)</v>
      </c>
      <c r="B519" t="s">
        <v>257</v>
      </c>
      <c r="C519" t="s">
        <v>921</v>
      </c>
      <c r="D519" t="s">
        <v>1341</v>
      </c>
      <c r="E519" t="s">
        <v>111</v>
      </c>
      <c r="F519" t="s">
        <v>51</v>
      </c>
      <c r="G519" t="s">
        <v>942</v>
      </c>
      <c r="H519" t="s">
        <v>111</v>
      </c>
      <c r="I519" t="s">
        <v>25</v>
      </c>
      <c r="J519" t="s">
        <v>26</v>
      </c>
      <c r="K519" t="s">
        <v>27</v>
      </c>
      <c r="L519" t="s">
        <v>53</v>
      </c>
      <c r="M519" t="s">
        <v>29</v>
      </c>
      <c r="N519" t="s">
        <v>64</v>
      </c>
      <c r="O519" t="s">
        <v>31</v>
      </c>
      <c r="P519" t="s">
        <v>138</v>
      </c>
      <c r="Q519" t="s">
        <v>155</v>
      </c>
      <c r="R519" t="s">
        <v>263</v>
      </c>
      <c r="S519" t="s">
        <v>1545</v>
      </c>
    </row>
    <row r="520" ht="55" customHeight="1" spans="1:19">
      <c r="A520" s="1" t="str">
        <f>_xlfn.DISPIMG("ID_3CF7342A4579440F9DF713553DCE2705",1)</f>
        <v>=DISPIMG("ID_3CF7342A4579440F9DF713553DCE2705",1)</v>
      </c>
      <c r="B520" t="s">
        <v>201</v>
      </c>
      <c r="C520" t="s">
        <v>768</v>
      </c>
      <c r="D520" t="s">
        <v>536</v>
      </c>
      <c r="E520" t="s">
        <v>27</v>
      </c>
      <c r="F520" t="s">
        <v>40</v>
      </c>
      <c r="G520" t="s">
        <v>538</v>
      </c>
      <c r="H520" t="s">
        <v>27</v>
      </c>
      <c r="I520" t="s">
        <v>42</v>
      </c>
      <c r="J520" t="s">
        <v>26</v>
      </c>
      <c r="K520" t="s">
        <v>27</v>
      </c>
      <c r="L520" t="s">
        <v>28</v>
      </c>
      <c r="M520" t="s">
        <v>29</v>
      </c>
      <c r="N520" t="s">
        <v>30</v>
      </c>
      <c r="O520" t="s">
        <v>31</v>
      </c>
      <c r="P520" t="s">
        <v>221</v>
      </c>
      <c r="Q520" t="s">
        <v>359</v>
      </c>
      <c r="R520" t="s">
        <v>86</v>
      </c>
      <c r="S520" t="s">
        <v>1546</v>
      </c>
    </row>
    <row r="521" ht="55" customHeight="1" spans="1:19">
      <c r="A521" s="1" t="str">
        <f>_xlfn.DISPIMG("ID_A211D697660A4F75A8F0AB0D2072D9E5",1)</f>
        <v>=DISPIMG("ID_A211D697660A4F75A8F0AB0D2072D9E5",1)</v>
      </c>
      <c r="B521" t="s">
        <v>141</v>
      </c>
      <c r="C521" t="s">
        <v>37</v>
      </c>
      <c r="D521" t="s">
        <v>210</v>
      </c>
      <c r="E521" t="s">
        <v>1095</v>
      </c>
      <c r="F521" t="s">
        <v>40</v>
      </c>
      <c r="G521" t="s">
        <v>312</v>
      </c>
      <c r="H521" t="s">
        <v>1095</v>
      </c>
      <c r="I521" t="s">
        <v>42</v>
      </c>
      <c r="J521" t="s">
        <v>26</v>
      </c>
      <c r="K521" t="s">
        <v>27</v>
      </c>
      <c r="L521" t="s">
        <v>28</v>
      </c>
      <c r="M521" t="s">
        <v>29</v>
      </c>
      <c r="N521" t="s">
        <v>30</v>
      </c>
      <c r="O521" t="s">
        <v>31</v>
      </c>
      <c r="P521" t="s">
        <v>1547</v>
      </c>
      <c r="Q521" t="s">
        <v>952</v>
      </c>
      <c r="R521" t="s">
        <v>147</v>
      </c>
      <c r="S521" t="s">
        <v>1548</v>
      </c>
    </row>
    <row r="522" ht="55" customHeight="1" spans="1:19">
      <c r="A522" s="1" t="str">
        <f>_xlfn.DISPIMG("ID_4D849ACB4BBF4FB6B0B8C56CEE523C15",1)</f>
        <v>=DISPIMG("ID_4D849ACB4BBF4FB6B0B8C56CEE523C15",1)</v>
      </c>
      <c r="B522" t="s">
        <v>320</v>
      </c>
      <c r="C522" t="s">
        <v>159</v>
      </c>
      <c r="D522" t="s">
        <v>448</v>
      </c>
      <c r="E522" t="s">
        <v>72</v>
      </c>
      <c r="F522" t="s">
        <v>173</v>
      </c>
      <c r="G522" t="s">
        <v>101</v>
      </c>
      <c r="H522" t="s">
        <v>72</v>
      </c>
      <c r="I522" t="s">
        <v>175</v>
      </c>
      <c r="J522" t="s">
        <v>26</v>
      </c>
      <c r="K522" t="s">
        <v>27</v>
      </c>
      <c r="L522" t="s">
        <v>28</v>
      </c>
      <c r="M522" t="s">
        <v>93</v>
      </c>
      <c r="N522" t="s">
        <v>30</v>
      </c>
      <c r="O522" t="s">
        <v>31</v>
      </c>
      <c r="P522" t="s">
        <v>75</v>
      </c>
      <c r="Q522" t="s">
        <v>76</v>
      </c>
      <c r="R522" t="s">
        <v>324</v>
      </c>
      <c r="S522" t="s">
        <v>1549</v>
      </c>
    </row>
    <row r="523" ht="55" customHeight="1" spans="1:19">
      <c r="A523" s="1" t="str">
        <f>_xlfn.DISPIMG("ID_8B28885E5372418581684AFDC90CC84C",1)</f>
        <v>=DISPIMG("ID_8B28885E5372418581684AFDC90CC84C",1)</v>
      </c>
      <c r="B523" t="s">
        <v>1293</v>
      </c>
      <c r="C523" t="s">
        <v>683</v>
      </c>
      <c r="D523" t="s">
        <v>180</v>
      </c>
      <c r="E523" t="s">
        <v>111</v>
      </c>
      <c r="F523" t="s">
        <v>173</v>
      </c>
      <c r="G523" t="s">
        <v>41</v>
      </c>
      <c r="H523" t="s">
        <v>111</v>
      </c>
      <c r="I523" t="s">
        <v>175</v>
      </c>
      <c r="J523" t="s">
        <v>26</v>
      </c>
      <c r="K523" t="s">
        <v>27</v>
      </c>
      <c r="L523" t="s">
        <v>329</v>
      </c>
      <c r="M523" t="s">
        <v>93</v>
      </c>
      <c r="N523" t="s">
        <v>30</v>
      </c>
      <c r="O523" t="s">
        <v>31</v>
      </c>
      <c r="P523" t="s">
        <v>455</v>
      </c>
      <c r="Q523" t="s">
        <v>539</v>
      </c>
      <c r="R523" t="s">
        <v>324</v>
      </c>
      <c r="S523" t="s">
        <v>1550</v>
      </c>
    </row>
    <row r="524" ht="55" customHeight="1" spans="1:19">
      <c r="A524" s="1" t="str">
        <f>_xlfn.DISPIMG("ID_87B79506B8094F24A257A902B667DE37",1)</f>
        <v>=DISPIMG("ID_87B79506B8094F24A257A902B667DE37",1)</v>
      </c>
      <c r="B524" t="s">
        <v>1221</v>
      </c>
      <c r="C524" t="s">
        <v>1551</v>
      </c>
      <c r="D524" t="s">
        <v>506</v>
      </c>
      <c r="E524" t="s">
        <v>507</v>
      </c>
      <c r="F524" t="s">
        <v>878</v>
      </c>
      <c r="G524" t="s">
        <v>317</v>
      </c>
      <c r="H524" t="s">
        <v>72</v>
      </c>
      <c r="I524" t="s">
        <v>165</v>
      </c>
      <c r="J524" t="s">
        <v>26</v>
      </c>
      <c r="K524" t="s">
        <v>27</v>
      </c>
      <c r="L524" t="s">
        <v>28</v>
      </c>
      <c r="M524" t="s">
        <v>93</v>
      </c>
      <c r="N524" t="s">
        <v>30</v>
      </c>
      <c r="O524" t="s">
        <v>31</v>
      </c>
      <c r="P524" t="s">
        <v>138</v>
      </c>
      <c r="Q524" t="s">
        <v>76</v>
      </c>
      <c r="R524" t="s">
        <v>318</v>
      </c>
      <c r="S524" t="s">
        <v>1552</v>
      </c>
    </row>
    <row r="525" ht="55" customHeight="1" spans="1:19">
      <c r="A525" s="1" t="str">
        <f>_xlfn.DISPIMG("ID_3DE973A3FA574105AA781C66D4571439",1)</f>
        <v>=DISPIMG("ID_3DE973A3FA574105AA781C66D4571439",1)</v>
      </c>
      <c r="B525" t="s">
        <v>178</v>
      </c>
      <c r="C525" t="s">
        <v>237</v>
      </c>
      <c r="D525" t="s">
        <v>180</v>
      </c>
      <c r="E525" t="s">
        <v>111</v>
      </c>
      <c r="F525" t="s">
        <v>51</v>
      </c>
      <c r="G525" t="s">
        <v>431</v>
      </c>
      <c r="H525" t="s">
        <v>111</v>
      </c>
      <c r="I525" t="s">
        <v>42</v>
      </c>
      <c r="J525" t="s">
        <v>26</v>
      </c>
      <c r="K525" t="s">
        <v>27</v>
      </c>
      <c r="L525" t="s">
        <v>28</v>
      </c>
      <c r="M525" t="s">
        <v>29</v>
      </c>
      <c r="N525" t="s">
        <v>30</v>
      </c>
      <c r="O525" t="s">
        <v>31</v>
      </c>
      <c r="P525" t="s">
        <v>1304</v>
      </c>
      <c r="Q525" t="s">
        <v>369</v>
      </c>
      <c r="R525" t="s">
        <v>184</v>
      </c>
      <c r="S525" t="s">
        <v>1553</v>
      </c>
    </row>
    <row r="526" ht="55" customHeight="1" spans="1:19">
      <c r="A526" s="1" t="str">
        <f>_xlfn.DISPIMG("ID_F6F1DEF7C8974DD58BD0E502447A3E8B",1)</f>
        <v>=DISPIMG("ID_F6F1DEF7C8974DD58BD0E502447A3E8B",1)</v>
      </c>
      <c r="B526" t="s">
        <v>610</v>
      </c>
      <c r="C526" t="s">
        <v>107</v>
      </c>
      <c r="D526" t="s">
        <v>143</v>
      </c>
      <c r="E526" t="s">
        <v>144</v>
      </c>
      <c r="F526" t="s">
        <v>40</v>
      </c>
      <c r="G526" t="s">
        <v>1554</v>
      </c>
      <c r="H526" t="s">
        <v>144</v>
      </c>
      <c r="I526" t="s">
        <v>25</v>
      </c>
      <c r="J526" t="s">
        <v>26</v>
      </c>
      <c r="K526" t="s">
        <v>27</v>
      </c>
      <c r="L526" t="s">
        <v>557</v>
      </c>
      <c r="M526" t="s">
        <v>29</v>
      </c>
      <c r="N526" t="s">
        <v>30</v>
      </c>
      <c r="O526" t="s">
        <v>31</v>
      </c>
      <c r="P526" t="s">
        <v>154</v>
      </c>
      <c r="Q526" t="s">
        <v>297</v>
      </c>
      <c r="R526" t="s">
        <v>389</v>
      </c>
      <c r="S526" t="s">
        <v>1555</v>
      </c>
    </row>
    <row r="527" ht="55" customHeight="1" spans="1:19">
      <c r="A527" s="1" t="str">
        <f>_xlfn.DISPIMG("ID_D933EF3A5BC14945954A4F394B4216D7",1)</f>
        <v>=DISPIMG("ID_D933EF3A5BC14945954A4F394B4216D7",1)</v>
      </c>
      <c r="B527" t="s">
        <v>257</v>
      </c>
      <c r="C527" t="s">
        <v>378</v>
      </c>
      <c r="D527" t="s">
        <v>644</v>
      </c>
      <c r="E527" t="s">
        <v>484</v>
      </c>
      <c r="F527" t="s">
        <v>51</v>
      </c>
      <c r="G527" t="s">
        <v>163</v>
      </c>
      <c r="H527" t="s">
        <v>392</v>
      </c>
      <c r="I527" t="s">
        <v>25</v>
      </c>
      <c r="J527" t="s">
        <v>26</v>
      </c>
      <c r="K527" t="s">
        <v>27</v>
      </c>
      <c r="L527" t="s">
        <v>74</v>
      </c>
      <c r="M527" t="s">
        <v>29</v>
      </c>
      <c r="N527" t="s">
        <v>30</v>
      </c>
      <c r="O527" t="s">
        <v>31</v>
      </c>
      <c r="P527" t="s">
        <v>75</v>
      </c>
      <c r="Q527" t="s">
        <v>297</v>
      </c>
      <c r="R527" t="s">
        <v>263</v>
      </c>
      <c r="S527" t="s">
        <v>1556</v>
      </c>
    </row>
    <row r="528" ht="55" customHeight="1" spans="1:19">
      <c r="A528" s="1" t="str">
        <f>_xlfn.DISPIMG("ID_B346CAF3584F4179B8035411F7D1EEF5",1)</f>
        <v>=DISPIMG("ID_B346CAF3584F4179B8035411F7D1EEF5",1)</v>
      </c>
      <c r="B528" t="s">
        <v>36</v>
      </c>
      <c r="C528" t="s">
        <v>1557</v>
      </c>
      <c r="D528" t="s">
        <v>536</v>
      </c>
      <c r="E528" t="s">
        <v>27</v>
      </c>
      <c r="F528" t="s">
        <v>40</v>
      </c>
      <c r="G528" t="s">
        <v>538</v>
      </c>
      <c r="H528" t="s">
        <v>27</v>
      </c>
      <c r="I528" t="s">
        <v>42</v>
      </c>
      <c r="J528" t="s">
        <v>26</v>
      </c>
      <c r="K528" t="s">
        <v>27</v>
      </c>
      <c r="L528" t="s">
        <v>28</v>
      </c>
      <c r="M528" t="s">
        <v>29</v>
      </c>
      <c r="N528" t="s">
        <v>30</v>
      </c>
      <c r="O528" t="s">
        <v>31</v>
      </c>
      <c r="P528" t="s">
        <v>1558</v>
      </c>
      <c r="Q528" t="s">
        <v>275</v>
      </c>
      <c r="R528" t="s">
        <v>45</v>
      </c>
      <c r="S528" t="s">
        <v>1559</v>
      </c>
    </row>
    <row r="529" ht="55" customHeight="1" spans="1:19">
      <c r="A529" s="1" t="str">
        <f>_xlfn.DISPIMG("ID_A69C3CD41A5846158F2893D7F1C9C9EF",1)</f>
        <v>=DISPIMG("ID_A69C3CD41A5846158F2893D7F1C9C9EF",1)</v>
      </c>
      <c r="B529" t="s">
        <v>458</v>
      </c>
      <c r="C529" t="s">
        <v>422</v>
      </c>
      <c r="D529" t="s">
        <v>442</v>
      </c>
      <c r="E529" t="s">
        <v>82</v>
      </c>
      <c r="F529" t="s">
        <v>173</v>
      </c>
      <c r="G529" t="s">
        <v>334</v>
      </c>
      <c r="H529" t="s">
        <v>84</v>
      </c>
      <c r="I529" t="s">
        <v>175</v>
      </c>
      <c r="J529" t="s">
        <v>26</v>
      </c>
      <c r="K529" t="s">
        <v>27</v>
      </c>
      <c r="L529" t="s">
        <v>28</v>
      </c>
      <c r="M529" t="s">
        <v>93</v>
      </c>
      <c r="N529" t="s">
        <v>64</v>
      </c>
      <c r="O529" t="s">
        <v>31</v>
      </c>
      <c r="P529" t="s">
        <v>473</v>
      </c>
      <c r="Q529" t="s">
        <v>33</v>
      </c>
      <c r="R529" t="s">
        <v>618</v>
      </c>
      <c r="S529" t="s">
        <v>1560</v>
      </c>
    </row>
    <row r="530" ht="55" customHeight="1" spans="1:19">
      <c r="A530" s="1" t="str">
        <f>_xlfn.DISPIMG("ID_06D751BD211540FC97562BA74029C265",1)</f>
        <v>=DISPIMG("ID_06D751BD211540FC97562BA74029C265",1)</v>
      </c>
      <c r="B530" t="s">
        <v>1561</v>
      </c>
      <c r="C530" t="s">
        <v>1562</v>
      </c>
      <c r="D530" t="s">
        <v>244</v>
      </c>
      <c r="E530" t="s">
        <v>164</v>
      </c>
      <c r="F530" t="s">
        <v>91</v>
      </c>
      <c r="G530" t="s">
        <v>724</v>
      </c>
      <c r="H530" t="s">
        <v>164</v>
      </c>
      <c r="I530" t="s">
        <v>25</v>
      </c>
      <c r="J530" t="s">
        <v>26</v>
      </c>
      <c r="K530" t="s">
        <v>27</v>
      </c>
      <c r="L530" t="s">
        <v>74</v>
      </c>
      <c r="M530" t="s">
        <v>93</v>
      </c>
      <c r="N530" t="s">
        <v>30</v>
      </c>
      <c r="O530" t="s">
        <v>31</v>
      </c>
      <c r="P530" t="s">
        <v>75</v>
      </c>
      <c r="Q530" t="s">
        <v>539</v>
      </c>
      <c r="R530" t="s">
        <v>1563</v>
      </c>
      <c r="S530" t="s">
        <v>1564</v>
      </c>
    </row>
    <row r="531" ht="55" customHeight="1" spans="1:19">
      <c r="A531" s="1" t="str">
        <f>_xlfn.DISPIMG("ID_03294941778B4FD8B41B217FFE0E2F6F",1)</f>
        <v>=DISPIMG("ID_03294941778B4FD8B41B217FFE0E2F6F",1)</v>
      </c>
      <c r="B531" t="s">
        <v>242</v>
      </c>
      <c r="C531" t="s">
        <v>355</v>
      </c>
      <c r="D531" t="s">
        <v>466</v>
      </c>
      <c r="E531" t="s">
        <v>357</v>
      </c>
      <c r="F531" t="s">
        <v>245</v>
      </c>
      <c r="G531" t="s">
        <v>246</v>
      </c>
      <c r="H531" t="s">
        <v>357</v>
      </c>
      <c r="I531" t="s">
        <v>165</v>
      </c>
      <c r="J531" t="s">
        <v>26</v>
      </c>
      <c r="K531" t="s">
        <v>27</v>
      </c>
      <c r="L531" t="s">
        <v>557</v>
      </c>
      <c r="M531" t="s">
        <v>93</v>
      </c>
      <c r="N531" t="s">
        <v>30</v>
      </c>
      <c r="O531" t="s">
        <v>31</v>
      </c>
      <c r="P531" t="s">
        <v>221</v>
      </c>
      <c r="Q531" t="s">
        <v>297</v>
      </c>
      <c r="R531" t="s">
        <v>249</v>
      </c>
      <c r="S531" t="s">
        <v>1565</v>
      </c>
    </row>
    <row r="532" ht="55" customHeight="1" spans="1:19">
      <c r="A532" s="1" t="str">
        <f>_xlfn.DISPIMG("ID_F38539415A3945C4A5259E2CCCC4CC2B",1)</f>
        <v>=DISPIMG("ID_F38539415A3945C4A5259E2CCCC4CC2B",1)</v>
      </c>
      <c r="B532" t="s">
        <v>854</v>
      </c>
      <c r="C532" t="s">
        <v>1566</v>
      </c>
      <c r="D532" t="s">
        <v>375</v>
      </c>
      <c r="E532" t="s">
        <v>100</v>
      </c>
      <c r="F532" t="s">
        <v>40</v>
      </c>
      <c r="G532" t="s">
        <v>306</v>
      </c>
      <c r="H532" t="s">
        <v>100</v>
      </c>
      <c r="I532" t="s">
        <v>25</v>
      </c>
      <c r="J532" t="s">
        <v>26</v>
      </c>
      <c r="K532" t="s">
        <v>27</v>
      </c>
      <c r="L532" t="s">
        <v>557</v>
      </c>
      <c r="M532" t="s">
        <v>29</v>
      </c>
      <c r="N532" t="s">
        <v>30</v>
      </c>
      <c r="O532" t="s">
        <v>31</v>
      </c>
      <c r="P532" t="s">
        <v>138</v>
      </c>
      <c r="Q532" t="s">
        <v>297</v>
      </c>
      <c r="R532" t="s">
        <v>147</v>
      </c>
      <c r="S532" t="s">
        <v>1567</v>
      </c>
    </row>
    <row r="533" ht="55" customHeight="1" spans="1:19">
      <c r="A533" s="1" t="str">
        <f>_xlfn.DISPIMG("ID_4F8389C57CEE4AA89FEC5F0C3382DBB2",1)</f>
        <v>=DISPIMG("ID_4F8389C57CEE4AA89FEC5F0C3382DBB2",1)</v>
      </c>
      <c r="B533" t="s">
        <v>236</v>
      </c>
      <c r="C533" t="s">
        <v>760</v>
      </c>
      <c r="D533" t="s">
        <v>1160</v>
      </c>
      <c r="E533" t="s">
        <v>84</v>
      </c>
      <c r="F533" t="s">
        <v>51</v>
      </c>
      <c r="G533" t="s">
        <v>1568</v>
      </c>
      <c r="H533" t="s">
        <v>84</v>
      </c>
      <c r="I533" t="s">
        <v>42</v>
      </c>
      <c r="J533" t="s">
        <v>26</v>
      </c>
      <c r="K533" t="s">
        <v>27</v>
      </c>
      <c r="L533" t="s">
        <v>28</v>
      </c>
      <c r="M533" t="s">
        <v>29</v>
      </c>
      <c r="N533" t="s">
        <v>64</v>
      </c>
      <c r="O533" t="s">
        <v>31</v>
      </c>
      <c r="P533" t="s">
        <v>751</v>
      </c>
      <c r="Q533" t="s">
        <v>1569</v>
      </c>
      <c r="R533" t="s">
        <v>104</v>
      </c>
      <c r="S533" t="s">
        <v>1570</v>
      </c>
    </row>
    <row r="534" ht="55" customHeight="1" spans="1:19">
      <c r="A534" s="1" t="str">
        <f>_xlfn.DISPIMG("ID_BD5E5C03E0C44BF3BB7C7A6491C8D17B",1)</f>
        <v>=DISPIMG("ID_BD5E5C03E0C44BF3BB7C7A6491C8D17B",1)</v>
      </c>
      <c r="B534" t="s">
        <v>1571</v>
      </c>
      <c r="C534" t="s">
        <v>1572</v>
      </c>
      <c r="D534" t="s">
        <v>1160</v>
      </c>
      <c r="E534" t="s">
        <v>84</v>
      </c>
      <c r="F534" t="s">
        <v>91</v>
      </c>
      <c r="G534" t="s">
        <v>436</v>
      </c>
      <c r="H534" t="s">
        <v>84</v>
      </c>
      <c r="I534" t="s">
        <v>42</v>
      </c>
      <c r="J534" t="s">
        <v>26</v>
      </c>
      <c r="K534" t="s">
        <v>27</v>
      </c>
      <c r="L534" t="s">
        <v>28</v>
      </c>
      <c r="M534" t="s">
        <v>93</v>
      </c>
      <c r="N534" t="s">
        <v>30</v>
      </c>
      <c r="O534" t="s">
        <v>31</v>
      </c>
      <c r="P534" t="s">
        <v>301</v>
      </c>
      <c r="Q534" t="s">
        <v>292</v>
      </c>
      <c r="R534" t="s">
        <v>940</v>
      </c>
      <c r="S534" t="s">
        <v>1573</v>
      </c>
    </row>
    <row r="535" ht="55" customHeight="1" spans="1:19">
      <c r="A535" s="1" t="str">
        <f>_xlfn.DISPIMG("ID_EEA367F0DBC248B6AB80C134DD1845D5",1)</f>
        <v>=DISPIMG("ID_EEA367F0DBC248B6AB80C134DD1845D5",1)</v>
      </c>
      <c r="B535" t="s">
        <v>1574</v>
      </c>
      <c r="C535" t="s">
        <v>980</v>
      </c>
      <c r="D535" t="s">
        <v>1296</v>
      </c>
      <c r="E535" t="s">
        <v>100</v>
      </c>
      <c r="F535" t="s">
        <v>23</v>
      </c>
      <c r="G535" t="s">
        <v>1575</v>
      </c>
      <c r="H535" t="s">
        <v>100</v>
      </c>
      <c r="I535" t="s">
        <v>25</v>
      </c>
      <c r="J535" t="s">
        <v>230</v>
      </c>
      <c r="K535" t="s">
        <v>27</v>
      </c>
      <c r="L535" t="s">
        <v>74</v>
      </c>
      <c r="M535" t="s">
        <v>29</v>
      </c>
      <c r="N535" t="s">
        <v>30</v>
      </c>
      <c r="O535" t="s">
        <v>31</v>
      </c>
      <c r="P535" t="s">
        <v>65</v>
      </c>
      <c r="Q535" t="s">
        <v>55</v>
      </c>
      <c r="R535" t="s">
        <v>981</v>
      </c>
      <c r="S535" t="s">
        <v>1576</v>
      </c>
    </row>
    <row r="536" ht="55" customHeight="1" spans="1:19">
      <c r="A536" s="1" t="str">
        <f>_xlfn.DISPIMG("ID_036FD2EF86D2494FBDAFFF6D3931DC6F",1)</f>
        <v>=DISPIMG("ID_036FD2EF86D2494FBDAFFF6D3931DC6F",1)</v>
      </c>
      <c r="B536" t="s">
        <v>282</v>
      </c>
      <c r="C536" t="s">
        <v>611</v>
      </c>
      <c r="D536" t="s">
        <v>1478</v>
      </c>
      <c r="E536" t="s">
        <v>111</v>
      </c>
      <c r="F536" t="s">
        <v>40</v>
      </c>
      <c r="G536" t="s">
        <v>127</v>
      </c>
      <c r="H536" t="s">
        <v>111</v>
      </c>
      <c r="I536" t="s">
        <v>42</v>
      </c>
      <c r="J536" t="s">
        <v>26</v>
      </c>
      <c r="K536" t="s">
        <v>27</v>
      </c>
      <c r="L536" t="s">
        <v>28</v>
      </c>
      <c r="M536" t="s">
        <v>29</v>
      </c>
      <c r="N536" t="s">
        <v>30</v>
      </c>
      <c r="O536" t="s">
        <v>31</v>
      </c>
      <c r="P536" t="s">
        <v>112</v>
      </c>
      <c r="Q536" t="s">
        <v>255</v>
      </c>
      <c r="R536" t="s">
        <v>45</v>
      </c>
      <c r="S536" t="s">
        <v>1577</v>
      </c>
    </row>
    <row r="537" ht="55" customHeight="1" spans="1:19">
      <c r="A537" s="1" t="str">
        <f>_xlfn.DISPIMG("ID_7CE15304803547B0B32515FE773CFD58",1)</f>
        <v>=DISPIMG("ID_7CE15304803547B0B32515FE773CFD58",1)</v>
      </c>
      <c r="B537" t="s">
        <v>439</v>
      </c>
      <c r="C537" t="s">
        <v>1239</v>
      </c>
      <c r="D537" t="s">
        <v>552</v>
      </c>
      <c r="E537" t="s">
        <v>445</v>
      </c>
      <c r="F537" t="s">
        <v>91</v>
      </c>
      <c r="G537" t="s">
        <v>1414</v>
      </c>
      <c r="H537" t="s">
        <v>445</v>
      </c>
      <c r="I537" t="s">
        <v>137</v>
      </c>
      <c r="J537" t="s">
        <v>26</v>
      </c>
      <c r="K537" t="s">
        <v>27</v>
      </c>
      <c r="L537" t="s">
        <v>329</v>
      </c>
      <c r="M537" t="s">
        <v>93</v>
      </c>
      <c r="N537" t="s">
        <v>30</v>
      </c>
      <c r="O537" t="s">
        <v>31</v>
      </c>
      <c r="P537" t="s">
        <v>112</v>
      </c>
      <c r="Q537" t="s">
        <v>76</v>
      </c>
      <c r="R537" t="s">
        <v>191</v>
      </c>
      <c r="S537" t="s">
        <v>1578</v>
      </c>
    </row>
    <row r="538" ht="55" customHeight="1" spans="1:19">
      <c r="A538" s="1" t="str">
        <f>_xlfn.DISPIMG("ID_51587B7273954C0DBE426B41ABFFCBE6",1)</f>
        <v>=DISPIMG("ID_51587B7273954C0DBE426B41ABFFCBE6",1)</v>
      </c>
      <c r="B538" t="s">
        <v>58</v>
      </c>
      <c r="C538" t="s">
        <v>826</v>
      </c>
      <c r="D538" t="s">
        <v>506</v>
      </c>
      <c r="E538" t="s">
        <v>445</v>
      </c>
      <c r="F538" t="s">
        <v>51</v>
      </c>
      <c r="G538" t="s">
        <v>284</v>
      </c>
      <c r="H538" t="s">
        <v>445</v>
      </c>
      <c r="I538" t="s">
        <v>42</v>
      </c>
      <c r="J538" t="s">
        <v>26</v>
      </c>
      <c r="K538" t="s">
        <v>27</v>
      </c>
      <c r="L538" t="s">
        <v>28</v>
      </c>
      <c r="M538" t="s">
        <v>29</v>
      </c>
      <c r="N538" t="s">
        <v>30</v>
      </c>
      <c r="O538" t="s">
        <v>31</v>
      </c>
      <c r="P538" t="s">
        <v>1579</v>
      </c>
      <c r="Q538" t="s">
        <v>843</v>
      </c>
      <c r="R538" t="s">
        <v>409</v>
      </c>
      <c r="S538" t="s">
        <v>1580</v>
      </c>
    </row>
    <row r="539" ht="55" customHeight="1" spans="1:19">
      <c r="A539" s="1" t="str">
        <f>_xlfn.DISPIMG("ID_ABED6DAA489940389CCBD308B95C7404",1)</f>
        <v>=DISPIMG("ID_ABED6DAA489940389CCBD308B95C7404",1)</v>
      </c>
      <c r="B539" t="s">
        <v>626</v>
      </c>
      <c r="C539" t="s">
        <v>1581</v>
      </c>
      <c r="D539" t="s">
        <v>789</v>
      </c>
      <c r="E539" t="s">
        <v>164</v>
      </c>
      <c r="F539" t="s">
        <v>162</v>
      </c>
      <c r="G539" t="s">
        <v>431</v>
      </c>
      <c r="H539" t="s">
        <v>164</v>
      </c>
      <c r="I539" t="s">
        <v>175</v>
      </c>
      <c r="J539" t="s">
        <v>26</v>
      </c>
      <c r="K539" t="s">
        <v>27</v>
      </c>
      <c r="L539" t="s">
        <v>329</v>
      </c>
      <c r="M539" t="s">
        <v>166</v>
      </c>
      <c r="N539" t="s">
        <v>30</v>
      </c>
      <c r="O539" t="s">
        <v>31</v>
      </c>
      <c r="P539" t="s">
        <v>138</v>
      </c>
      <c r="Q539" t="s">
        <v>122</v>
      </c>
      <c r="R539" t="s">
        <v>1305</v>
      </c>
      <c r="S539" t="s">
        <v>1582</v>
      </c>
    </row>
    <row r="540" ht="55" customHeight="1" spans="1:19">
      <c r="A540" s="1" t="str">
        <f>_xlfn.DISPIMG("ID_3250CE6897184700B08B8FEAC118F3FC",1)</f>
        <v>=DISPIMG("ID_3250CE6897184700B08B8FEAC118F3FC",1)</v>
      </c>
      <c r="B540" t="s">
        <v>1583</v>
      </c>
      <c r="C540" t="s">
        <v>372</v>
      </c>
      <c r="D540" t="s">
        <v>454</v>
      </c>
      <c r="E540" t="s">
        <v>135</v>
      </c>
      <c r="F540" t="s">
        <v>173</v>
      </c>
      <c r="G540" t="s">
        <v>1584</v>
      </c>
      <c r="H540" t="s">
        <v>135</v>
      </c>
      <c r="I540" t="s">
        <v>137</v>
      </c>
      <c r="J540" t="s">
        <v>26</v>
      </c>
      <c r="K540" t="s">
        <v>27</v>
      </c>
      <c r="L540" t="s">
        <v>329</v>
      </c>
      <c r="M540" t="s">
        <v>93</v>
      </c>
      <c r="N540" t="s">
        <v>30</v>
      </c>
      <c r="O540" t="s">
        <v>31</v>
      </c>
      <c r="P540" t="s">
        <v>301</v>
      </c>
      <c r="Q540" t="s">
        <v>1585</v>
      </c>
      <c r="R540" t="s">
        <v>1586</v>
      </c>
      <c r="S540" t="s">
        <v>1587</v>
      </c>
    </row>
    <row r="541" ht="55" customHeight="1" spans="1:19">
      <c r="A541" s="1" t="str">
        <f>_xlfn.DISPIMG("ID_61402A1FA38F40B4960F77EF368820FF",1)</f>
        <v>=DISPIMG("ID_61402A1FA38F40B4960F77EF368820FF",1)</v>
      </c>
      <c r="B541" t="s">
        <v>815</v>
      </c>
      <c r="C541" t="s">
        <v>266</v>
      </c>
      <c r="D541" t="s">
        <v>38</v>
      </c>
      <c r="E541" t="s">
        <v>39</v>
      </c>
      <c r="F541" t="s">
        <v>91</v>
      </c>
      <c r="G541" t="s">
        <v>600</v>
      </c>
      <c r="H541" t="s">
        <v>39</v>
      </c>
      <c r="I541" t="s">
        <v>175</v>
      </c>
      <c r="J541" t="s">
        <v>26</v>
      </c>
      <c r="K541" t="s">
        <v>27</v>
      </c>
      <c r="L541" t="s">
        <v>28</v>
      </c>
      <c r="M541" t="s">
        <v>93</v>
      </c>
      <c r="N541" t="s">
        <v>30</v>
      </c>
      <c r="O541" t="s">
        <v>31</v>
      </c>
      <c r="P541" t="s">
        <v>301</v>
      </c>
      <c r="Q541" t="s">
        <v>55</v>
      </c>
      <c r="R541" t="s">
        <v>816</v>
      </c>
      <c r="S541" t="s">
        <v>1588</v>
      </c>
    </row>
    <row r="542" ht="55" customHeight="1" spans="1:19">
      <c r="A542" s="1" t="str">
        <f>_xlfn.DISPIMG("ID_4BBFDBF16D234422A242C6AEA035625A",1)</f>
        <v>=DISPIMG("ID_4BBFDBF16D234422A242C6AEA035625A",1)</v>
      </c>
      <c r="B542" t="s">
        <v>277</v>
      </c>
      <c r="C542" t="s">
        <v>560</v>
      </c>
      <c r="D542" t="s">
        <v>99</v>
      </c>
      <c r="E542" t="s">
        <v>100</v>
      </c>
      <c r="F542" t="s">
        <v>91</v>
      </c>
      <c r="G542" t="s">
        <v>676</v>
      </c>
      <c r="H542" t="s">
        <v>100</v>
      </c>
      <c r="I542" t="s">
        <v>42</v>
      </c>
      <c r="J542" t="s">
        <v>26</v>
      </c>
      <c r="K542" t="s">
        <v>27</v>
      </c>
      <c r="L542" t="s">
        <v>28</v>
      </c>
      <c r="M542" t="s">
        <v>93</v>
      </c>
      <c r="N542" t="s">
        <v>30</v>
      </c>
      <c r="O542" t="s">
        <v>31</v>
      </c>
      <c r="P542" t="s">
        <v>75</v>
      </c>
      <c r="Q542" t="s">
        <v>167</v>
      </c>
      <c r="R542" t="s">
        <v>130</v>
      </c>
      <c r="S542" t="s">
        <v>1589</v>
      </c>
    </row>
    <row r="543" ht="55" customHeight="1" spans="1:19">
      <c r="A543" s="1" t="str">
        <f>_xlfn.DISPIMG("ID_0C13ACE03AA7491AA12D93A86244DBD1",1)</f>
        <v>=DISPIMG("ID_0C13ACE03AA7491AA12D93A86244DBD1",1)</v>
      </c>
      <c r="B543" t="s">
        <v>366</v>
      </c>
      <c r="C543" t="s">
        <v>367</v>
      </c>
      <c r="D543" t="s">
        <v>143</v>
      </c>
      <c r="E543" t="s">
        <v>144</v>
      </c>
      <c r="F543" t="s">
        <v>245</v>
      </c>
      <c r="G543" t="s">
        <v>246</v>
      </c>
      <c r="H543" t="s">
        <v>144</v>
      </c>
      <c r="I543" t="s">
        <v>165</v>
      </c>
      <c r="J543" t="s">
        <v>26</v>
      </c>
      <c r="K543" t="s">
        <v>27</v>
      </c>
      <c r="L543" t="s">
        <v>231</v>
      </c>
      <c r="M543" t="s">
        <v>93</v>
      </c>
      <c r="N543" t="s">
        <v>30</v>
      </c>
      <c r="O543" t="s">
        <v>31</v>
      </c>
      <c r="P543" t="s">
        <v>146</v>
      </c>
      <c r="Q543" t="s">
        <v>190</v>
      </c>
      <c r="R543" t="s">
        <v>370</v>
      </c>
      <c r="S543" t="s">
        <v>1590</v>
      </c>
    </row>
    <row r="544" ht="55" customHeight="1" spans="1:19">
      <c r="A544" s="1" t="str">
        <f>_xlfn.DISPIMG("ID_E74CE2ED411140FDBCCA1AAFC8EC97C5",1)</f>
        <v>=DISPIMG("ID_E74CE2ED411140FDBCCA1AAFC8EC97C5",1)</v>
      </c>
      <c r="B544" t="s">
        <v>1591</v>
      </c>
      <c r="C544" t="s">
        <v>37</v>
      </c>
      <c r="D544" t="s">
        <v>830</v>
      </c>
      <c r="E544" t="s">
        <v>316</v>
      </c>
      <c r="F544" t="s">
        <v>40</v>
      </c>
      <c r="G544" t="s">
        <v>638</v>
      </c>
      <c r="H544" t="s">
        <v>144</v>
      </c>
      <c r="I544" t="s">
        <v>42</v>
      </c>
      <c r="J544" t="s">
        <v>26</v>
      </c>
      <c r="K544" t="s">
        <v>27</v>
      </c>
      <c r="L544" t="s">
        <v>74</v>
      </c>
      <c r="M544" t="s">
        <v>29</v>
      </c>
      <c r="N544" t="s">
        <v>30</v>
      </c>
      <c r="O544" t="s">
        <v>31</v>
      </c>
      <c r="P544" t="s">
        <v>285</v>
      </c>
      <c r="Q544" t="s">
        <v>765</v>
      </c>
      <c r="R544" t="s">
        <v>86</v>
      </c>
      <c r="S544" t="s">
        <v>1592</v>
      </c>
    </row>
    <row r="545" ht="55" customHeight="1" spans="1:19">
      <c r="A545" s="1" t="str">
        <f>_xlfn.DISPIMG("ID_BC44D43CF2E44957AC333D28BDEF4BB4",1)</f>
        <v>=DISPIMG("ID_BC44D43CF2E44957AC333D28BDEF4BB4",1)</v>
      </c>
      <c r="B545" t="s">
        <v>406</v>
      </c>
      <c r="C545" t="s">
        <v>1070</v>
      </c>
      <c r="D545" t="s">
        <v>253</v>
      </c>
      <c r="E545" t="s">
        <v>1041</v>
      </c>
      <c r="F545" t="s">
        <v>40</v>
      </c>
      <c r="G545" t="s">
        <v>1593</v>
      </c>
      <c r="H545" t="s">
        <v>659</v>
      </c>
      <c r="I545" t="s">
        <v>42</v>
      </c>
      <c r="J545" t="s">
        <v>26</v>
      </c>
      <c r="K545" t="s">
        <v>27</v>
      </c>
      <c r="L545" t="s">
        <v>28</v>
      </c>
      <c r="M545" t="s">
        <v>29</v>
      </c>
      <c r="N545" t="s">
        <v>30</v>
      </c>
      <c r="O545" t="s">
        <v>31</v>
      </c>
      <c r="P545" t="s">
        <v>138</v>
      </c>
      <c r="Q545" t="s">
        <v>553</v>
      </c>
      <c r="R545" t="s">
        <v>147</v>
      </c>
      <c r="S545" t="s">
        <v>1594</v>
      </c>
    </row>
    <row r="546" ht="55" customHeight="1" spans="1:19">
      <c r="A546" s="1" t="str">
        <f>_xlfn.DISPIMG("ID_AB02DA56D86142119E51FB47C0CDAB26",1)</f>
        <v>=DISPIMG("ID_AB02DA56D86142119E51FB47C0CDAB26",1)</v>
      </c>
      <c r="B546" t="s">
        <v>1595</v>
      </c>
      <c r="C546" t="s">
        <v>936</v>
      </c>
      <c r="D546" t="s">
        <v>279</v>
      </c>
      <c r="E546" t="s">
        <v>164</v>
      </c>
      <c r="F546" t="s">
        <v>91</v>
      </c>
      <c r="G546" t="s">
        <v>1442</v>
      </c>
      <c r="H546" t="s">
        <v>164</v>
      </c>
      <c r="I546" t="s">
        <v>42</v>
      </c>
      <c r="J546" t="s">
        <v>26</v>
      </c>
      <c r="K546" t="s">
        <v>27</v>
      </c>
      <c r="L546" t="s">
        <v>28</v>
      </c>
      <c r="M546" t="s">
        <v>93</v>
      </c>
      <c r="N546" t="s">
        <v>30</v>
      </c>
      <c r="O546" t="s">
        <v>31</v>
      </c>
      <c r="P546" t="s">
        <v>301</v>
      </c>
      <c r="Q546" t="s">
        <v>113</v>
      </c>
      <c r="R546" t="s">
        <v>397</v>
      </c>
      <c r="S546" t="s">
        <v>1596</v>
      </c>
    </row>
    <row r="547" ht="55" customHeight="1" spans="1:19">
      <c r="A547" s="1" t="str">
        <f>_xlfn.DISPIMG("ID_43EE9D69495D4E169E89CCD21049DC57",1)</f>
        <v>=DISPIMG("ID_43EE9D69495D4E169E89CCD21049DC57",1)</v>
      </c>
      <c r="B547" t="s">
        <v>476</v>
      </c>
      <c r="C547" t="s">
        <v>1597</v>
      </c>
      <c r="D547" t="s">
        <v>552</v>
      </c>
      <c r="E547" t="s">
        <v>507</v>
      </c>
      <c r="F547" t="s">
        <v>40</v>
      </c>
      <c r="G547" t="s">
        <v>41</v>
      </c>
      <c r="H547" t="s">
        <v>135</v>
      </c>
      <c r="I547" t="s">
        <v>42</v>
      </c>
      <c r="J547" t="s">
        <v>26</v>
      </c>
      <c r="K547" t="s">
        <v>27</v>
      </c>
      <c r="L547" t="s">
        <v>53</v>
      </c>
      <c r="M547" t="s">
        <v>29</v>
      </c>
      <c r="N547" t="s">
        <v>30</v>
      </c>
      <c r="O547" t="s">
        <v>31</v>
      </c>
      <c r="P547" t="s">
        <v>182</v>
      </c>
      <c r="Q547" t="s">
        <v>66</v>
      </c>
      <c r="R547" t="s">
        <v>114</v>
      </c>
      <c r="S547" t="s">
        <v>1598</v>
      </c>
    </row>
    <row r="548" ht="55" customHeight="1" spans="1:19">
      <c r="A548" s="1" t="str">
        <f>_xlfn.DISPIMG("ID_1E2B3B841A4A4AAB978C8D4C95B96FA6",1)</f>
        <v>=DISPIMG("ID_1E2B3B841A4A4AAB978C8D4C95B96FA6",1)</v>
      </c>
      <c r="B548" t="s">
        <v>178</v>
      </c>
      <c r="C548" t="s">
        <v>1430</v>
      </c>
      <c r="D548" t="s">
        <v>160</v>
      </c>
      <c r="E548" t="s">
        <v>161</v>
      </c>
      <c r="F548" t="s">
        <v>51</v>
      </c>
      <c r="G548" t="s">
        <v>1599</v>
      </c>
      <c r="H548" t="s">
        <v>164</v>
      </c>
      <c r="I548" t="s">
        <v>42</v>
      </c>
      <c r="J548" t="s">
        <v>26</v>
      </c>
      <c r="K548" t="s">
        <v>27</v>
      </c>
      <c r="L548" t="s">
        <v>28</v>
      </c>
      <c r="M548" t="s">
        <v>29</v>
      </c>
      <c r="N548" t="s">
        <v>30</v>
      </c>
      <c r="O548" t="s">
        <v>31</v>
      </c>
      <c r="P548" t="s">
        <v>75</v>
      </c>
      <c r="Q548" t="s">
        <v>66</v>
      </c>
      <c r="R548" t="s">
        <v>184</v>
      </c>
      <c r="S548" t="s">
        <v>1600</v>
      </c>
    </row>
    <row r="549" ht="55" customHeight="1" spans="1:19">
      <c r="A549" s="1" t="str">
        <f>_xlfn.DISPIMG("ID_1E0D8C89849E44EA8AFDDC63A7F1399E",1)</f>
        <v>=DISPIMG("ID_1E0D8C89849E44EA8AFDDC63A7F1399E",1)</v>
      </c>
      <c r="B549" t="s">
        <v>1216</v>
      </c>
      <c r="C549" t="s">
        <v>1201</v>
      </c>
      <c r="D549" t="s">
        <v>454</v>
      </c>
      <c r="E549" t="s">
        <v>135</v>
      </c>
      <c r="F549" t="s">
        <v>173</v>
      </c>
      <c r="G549" t="s">
        <v>1601</v>
      </c>
      <c r="H549" t="s">
        <v>135</v>
      </c>
      <c r="I549" t="s">
        <v>175</v>
      </c>
      <c r="J549" t="s">
        <v>230</v>
      </c>
      <c r="K549" t="s">
        <v>27</v>
      </c>
      <c r="L549" t="s">
        <v>323</v>
      </c>
      <c r="M549" t="s">
        <v>93</v>
      </c>
      <c r="N549" t="s">
        <v>64</v>
      </c>
      <c r="O549" t="s">
        <v>31</v>
      </c>
      <c r="P549" t="s">
        <v>414</v>
      </c>
      <c r="Q549" t="s">
        <v>1311</v>
      </c>
      <c r="R549" t="s">
        <v>147</v>
      </c>
      <c r="S549" t="s">
        <v>1602</v>
      </c>
    </row>
    <row r="550" ht="55" customHeight="1" spans="1:19">
      <c r="A550" s="1" t="str">
        <f>_xlfn.DISPIMG("ID_03E8B0242D054CA28AE8CE121944C292",1)</f>
        <v>=DISPIMG("ID_03E8B0242D054CA28AE8CE121944C292",1)</v>
      </c>
      <c r="B550" t="s">
        <v>236</v>
      </c>
      <c r="C550" t="s">
        <v>651</v>
      </c>
      <c r="D550" t="s">
        <v>160</v>
      </c>
      <c r="E550" t="s">
        <v>161</v>
      </c>
      <c r="F550" t="s">
        <v>51</v>
      </c>
      <c r="G550" t="s">
        <v>127</v>
      </c>
      <c r="H550" t="s">
        <v>164</v>
      </c>
      <c r="I550" t="s">
        <v>42</v>
      </c>
      <c r="J550" t="s">
        <v>26</v>
      </c>
      <c r="K550" t="s">
        <v>27</v>
      </c>
      <c r="L550" t="s">
        <v>28</v>
      </c>
      <c r="M550" t="s">
        <v>29</v>
      </c>
      <c r="N550" t="s">
        <v>30</v>
      </c>
      <c r="O550" t="s">
        <v>31</v>
      </c>
      <c r="P550" t="s">
        <v>112</v>
      </c>
      <c r="Q550" t="s">
        <v>55</v>
      </c>
      <c r="R550" t="s">
        <v>104</v>
      </c>
      <c r="S550" t="s">
        <v>1603</v>
      </c>
    </row>
    <row r="551" ht="55" customHeight="1" spans="1:19">
      <c r="A551" s="1" t="str">
        <f>_xlfn.DISPIMG("ID_A288460695974586A1D63C2505AEB841",1)</f>
        <v>=DISPIMG("ID_A288460695974586A1D63C2505AEB841",1)</v>
      </c>
      <c r="B551" t="s">
        <v>935</v>
      </c>
      <c r="C551" t="s">
        <v>70</v>
      </c>
      <c r="D551" t="s">
        <v>368</v>
      </c>
      <c r="E551" t="s">
        <v>22</v>
      </c>
      <c r="F551" t="s">
        <v>245</v>
      </c>
      <c r="G551" t="s">
        <v>1604</v>
      </c>
      <c r="H551" t="s">
        <v>22</v>
      </c>
      <c r="I551" t="s">
        <v>165</v>
      </c>
      <c r="J551" t="s">
        <v>26</v>
      </c>
      <c r="K551" t="s">
        <v>27</v>
      </c>
      <c r="L551" t="s">
        <v>28</v>
      </c>
      <c r="M551" t="s">
        <v>93</v>
      </c>
      <c r="N551" t="s">
        <v>64</v>
      </c>
      <c r="O551" t="s">
        <v>31</v>
      </c>
      <c r="P551" t="s">
        <v>128</v>
      </c>
      <c r="Q551" t="s">
        <v>297</v>
      </c>
      <c r="R551" t="s">
        <v>147</v>
      </c>
      <c r="S551" t="s">
        <v>1605</v>
      </c>
    </row>
    <row r="552" ht="55" customHeight="1" spans="1:19">
      <c r="A552" s="1" t="str">
        <f>_xlfn.DISPIMG("ID_784CBE70368F4B28A39AC0C78F7DC701",1)</f>
        <v>=DISPIMG("ID_784CBE70368F4B28A39AC0C78F7DC701",1)</v>
      </c>
      <c r="B552" t="s">
        <v>924</v>
      </c>
      <c r="C552" t="s">
        <v>594</v>
      </c>
      <c r="D552" t="s">
        <v>1606</v>
      </c>
      <c r="E552" t="s">
        <v>119</v>
      </c>
      <c r="F552" t="s">
        <v>23</v>
      </c>
      <c r="G552" t="s">
        <v>905</v>
      </c>
      <c r="H552" t="s">
        <v>119</v>
      </c>
      <c r="I552" t="s">
        <v>25</v>
      </c>
      <c r="J552" t="s">
        <v>26</v>
      </c>
      <c r="K552" t="s">
        <v>27</v>
      </c>
      <c r="L552" t="s">
        <v>28</v>
      </c>
      <c r="M552" t="s">
        <v>29</v>
      </c>
      <c r="N552" t="s">
        <v>30</v>
      </c>
      <c r="O552" t="s">
        <v>31</v>
      </c>
      <c r="P552" t="s">
        <v>65</v>
      </c>
      <c r="Q552" t="s">
        <v>76</v>
      </c>
      <c r="R552" t="s">
        <v>981</v>
      </c>
      <c r="S552" t="s">
        <v>1607</v>
      </c>
    </row>
    <row r="553" ht="55" customHeight="1" spans="1:19">
      <c r="A553" s="1" t="str">
        <f>_xlfn.DISPIMG("ID_D9B6C7A7B49B45ACA32A9DACAF9EF5A8",1)</f>
        <v>=DISPIMG("ID_D9B6C7A7B49B45ACA32A9DACAF9EF5A8",1)</v>
      </c>
      <c r="B553" t="s">
        <v>465</v>
      </c>
      <c r="C553" t="s">
        <v>386</v>
      </c>
      <c r="D553" t="s">
        <v>1478</v>
      </c>
      <c r="E553" t="s">
        <v>111</v>
      </c>
      <c r="F553" t="s">
        <v>40</v>
      </c>
      <c r="G553" t="s">
        <v>436</v>
      </c>
      <c r="H553" t="s">
        <v>111</v>
      </c>
      <c r="I553" t="s">
        <v>42</v>
      </c>
      <c r="J553" t="s">
        <v>26</v>
      </c>
      <c r="K553" t="s">
        <v>27</v>
      </c>
      <c r="L553" t="s">
        <v>28</v>
      </c>
      <c r="M553" t="s">
        <v>29</v>
      </c>
      <c r="N553" t="s">
        <v>30</v>
      </c>
      <c r="O553" t="s">
        <v>31</v>
      </c>
      <c r="P553" t="s">
        <v>65</v>
      </c>
      <c r="Q553" t="s">
        <v>55</v>
      </c>
      <c r="R553" t="s">
        <v>45</v>
      </c>
      <c r="S553" t="s">
        <v>1608</v>
      </c>
    </row>
    <row r="554" ht="55" customHeight="1" spans="1:19">
      <c r="A554" s="1" t="str">
        <f>_xlfn.DISPIMG("ID_3A55ACB2EEC54068B3650553D773E640",1)</f>
        <v>=DISPIMG("ID_3A55ACB2EEC54068B3650553D773E640",1)</v>
      </c>
      <c r="B554" t="s">
        <v>236</v>
      </c>
      <c r="C554" t="s">
        <v>1234</v>
      </c>
      <c r="D554" t="s">
        <v>160</v>
      </c>
      <c r="E554" t="s">
        <v>161</v>
      </c>
      <c r="F554" t="s">
        <v>51</v>
      </c>
      <c r="G554" t="s">
        <v>284</v>
      </c>
      <c r="H554" t="s">
        <v>164</v>
      </c>
      <c r="I554" t="s">
        <v>42</v>
      </c>
      <c r="J554" t="s">
        <v>26</v>
      </c>
      <c r="K554" t="s">
        <v>27</v>
      </c>
      <c r="L554" t="s">
        <v>74</v>
      </c>
      <c r="M554" t="s">
        <v>29</v>
      </c>
      <c r="N554" t="s">
        <v>30</v>
      </c>
      <c r="O554" t="s">
        <v>31</v>
      </c>
      <c r="P554" t="s">
        <v>128</v>
      </c>
      <c r="Q554" t="s">
        <v>66</v>
      </c>
      <c r="R554" t="s">
        <v>104</v>
      </c>
      <c r="S554" t="s">
        <v>1609</v>
      </c>
    </row>
    <row r="555" ht="55" customHeight="1" spans="1:19">
      <c r="A555" s="1" t="str">
        <f>_xlfn.DISPIMG("ID_E91311B9545F485CBC55048DB735AB38",1)</f>
        <v>=DISPIMG("ID_E91311B9545F485CBC55048DB735AB38",1)</v>
      </c>
      <c r="B555" t="s">
        <v>257</v>
      </c>
      <c r="C555" t="s">
        <v>589</v>
      </c>
      <c r="D555" t="s">
        <v>425</v>
      </c>
      <c r="E555" t="s">
        <v>486</v>
      </c>
      <c r="F555" t="s">
        <v>51</v>
      </c>
      <c r="G555" t="s">
        <v>676</v>
      </c>
      <c r="H555" t="s">
        <v>1423</v>
      </c>
      <c r="I555" t="s">
        <v>25</v>
      </c>
      <c r="J555" t="s">
        <v>26</v>
      </c>
      <c r="K555" t="s">
        <v>27</v>
      </c>
      <c r="L555" t="s">
        <v>28</v>
      </c>
      <c r="M555" t="s">
        <v>29</v>
      </c>
      <c r="N555" t="s">
        <v>30</v>
      </c>
      <c r="O555" t="s">
        <v>31</v>
      </c>
      <c r="P555" t="s">
        <v>102</v>
      </c>
      <c r="Q555" t="s">
        <v>1023</v>
      </c>
      <c r="R555" t="s">
        <v>147</v>
      </c>
      <c r="S555" t="s">
        <v>1610</v>
      </c>
    </row>
    <row r="556" ht="55" customHeight="1" spans="1:19">
      <c r="A556" s="1" t="str">
        <f>_xlfn.DISPIMG("ID_9E78D7331EC54B9B877C0DC65068B032",1)</f>
        <v>=DISPIMG("ID_9E78D7331EC54B9B877C0DC65068B032",1)</v>
      </c>
      <c r="B556" t="s">
        <v>242</v>
      </c>
      <c r="C556" t="s">
        <v>299</v>
      </c>
      <c r="D556" t="s">
        <v>799</v>
      </c>
      <c r="E556" t="s">
        <v>929</v>
      </c>
      <c r="F556" t="s">
        <v>245</v>
      </c>
      <c r="G556" t="s">
        <v>1611</v>
      </c>
      <c r="H556" t="s">
        <v>357</v>
      </c>
      <c r="I556" t="s">
        <v>165</v>
      </c>
      <c r="J556" t="s">
        <v>26</v>
      </c>
      <c r="K556" t="s">
        <v>27</v>
      </c>
      <c r="L556" t="s">
        <v>557</v>
      </c>
      <c r="M556" t="s">
        <v>93</v>
      </c>
      <c r="N556" t="s">
        <v>30</v>
      </c>
      <c r="O556" t="s">
        <v>31</v>
      </c>
      <c r="P556" t="s">
        <v>146</v>
      </c>
      <c r="Q556" t="s">
        <v>286</v>
      </c>
      <c r="R556" t="s">
        <v>249</v>
      </c>
      <c r="S556" t="s">
        <v>1612</v>
      </c>
    </row>
    <row r="557" ht="55" customHeight="1" spans="1:19">
      <c r="A557" s="1" t="str">
        <f>_xlfn.DISPIMG("ID_88C0888172404C848D1017BBF225059A",1)</f>
        <v>=DISPIMG("ID_88C0888172404C848D1017BBF225059A",1)</v>
      </c>
      <c r="B557" t="s">
        <v>406</v>
      </c>
      <c r="C557" t="s">
        <v>968</v>
      </c>
      <c r="D557" t="s">
        <v>681</v>
      </c>
      <c r="E557" t="s">
        <v>927</v>
      </c>
      <c r="F557" t="s">
        <v>40</v>
      </c>
      <c r="G557" t="s">
        <v>431</v>
      </c>
      <c r="H557" t="s">
        <v>927</v>
      </c>
      <c r="I557" t="s">
        <v>42</v>
      </c>
      <c r="J557" t="s">
        <v>26</v>
      </c>
      <c r="K557" t="s">
        <v>27</v>
      </c>
      <c r="L557" t="s">
        <v>53</v>
      </c>
      <c r="M557" t="s">
        <v>29</v>
      </c>
      <c r="N557" t="s">
        <v>30</v>
      </c>
      <c r="O557" t="s">
        <v>31</v>
      </c>
      <c r="P557" t="s">
        <v>587</v>
      </c>
      <c r="Q557" t="s">
        <v>129</v>
      </c>
      <c r="R557" t="s">
        <v>147</v>
      </c>
      <c r="S557" t="s">
        <v>1613</v>
      </c>
    </row>
    <row r="558" ht="55" customHeight="1" spans="1:19">
      <c r="A558" s="1" t="str">
        <f>_xlfn.DISPIMG("ID_153BD5FF610C4D26A7EC95880D4B605E",1)</f>
        <v>=DISPIMG("ID_153BD5FF610C4D26A7EC95880D4B605E",1)</v>
      </c>
      <c r="B558" t="s">
        <v>439</v>
      </c>
      <c r="C558" t="s">
        <v>1449</v>
      </c>
      <c r="D558" t="s">
        <v>310</v>
      </c>
      <c r="E558" t="s">
        <v>311</v>
      </c>
      <c r="F558" t="s">
        <v>91</v>
      </c>
      <c r="G558" t="s">
        <v>92</v>
      </c>
      <c r="H558" t="s">
        <v>39</v>
      </c>
      <c r="I558" t="s">
        <v>137</v>
      </c>
      <c r="J558" t="s">
        <v>26</v>
      </c>
      <c r="K558" t="s">
        <v>27</v>
      </c>
      <c r="L558" t="s">
        <v>28</v>
      </c>
      <c r="M558" t="s">
        <v>93</v>
      </c>
      <c r="N558" t="s">
        <v>30</v>
      </c>
      <c r="O558" t="s">
        <v>31</v>
      </c>
      <c r="P558" t="s">
        <v>247</v>
      </c>
      <c r="Q558" t="s">
        <v>369</v>
      </c>
      <c r="R558" t="s">
        <v>191</v>
      </c>
      <c r="S558" t="s">
        <v>1614</v>
      </c>
    </row>
    <row r="559" ht="55" customHeight="1" spans="1:19">
      <c r="A559" s="1" t="str">
        <f>_xlfn.DISPIMG("ID_A01FB38F58444B5F996B36A2B896DA79",1)</f>
        <v>=DISPIMG("ID_A01FB38F58444B5F996B36A2B896DA79",1)</v>
      </c>
      <c r="B559" t="s">
        <v>1317</v>
      </c>
      <c r="C559" t="s">
        <v>851</v>
      </c>
      <c r="D559" t="s">
        <v>38</v>
      </c>
      <c r="E559" t="s">
        <v>731</v>
      </c>
      <c r="F559" t="s">
        <v>91</v>
      </c>
      <c r="G559" t="s">
        <v>1615</v>
      </c>
      <c r="H559" t="s">
        <v>731</v>
      </c>
      <c r="I559" t="s">
        <v>175</v>
      </c>
      <c r="J559" t="s">
        <v>26</v>
      </c>
      <c r="K559" t="s">
        <v>27</v>
      </c>
      <c r="L559" t="s">
        <v>231</v>
      </c>
      <c r="M559" t="s">
        <v>93</v>
      </c>
      <c r="N559" t="s">
        <v>64</v>
      </c>
      <c r="O559" t="s">
        <v>31</v>
      </c>
      <c r="P559" t="s">
        <v>733</v>
      </c>
      <c r="Q559" t="s">
        <v>85</v>
      </c>
      <c r="R559" t="s">
        <v>147</v>
      </c>
      <c r="S559" t="s">
        <v>1616</v>
      </c>
    </row>
    <row r="560" ht="55" customHeight="1" spans="1:19">
      <c r="A560" s="1" t="str">
        <f>_xlfn.DISPIMG("ID_2CC1152C7AA54A3D95EAC9C388F7C02B",1)</f>
        <v>=DISPIMG("ID_2CC1152C7AA54A3D95EAC9C388F7C02B",1)</v>
      </c>
      <c r="B560" t="s">
        <v>236</v>
      </c>
      <c r="C560" t="s">
        <v>1617</v>
      </c>
      <c r="D560" t="s">
        <v>991</v>
      </c>
      <c r="E560" t="s">
        <v>1618</v>
      </c>
      <c r="F560" t="s">
        <v>51</v>
      </c>
      <c r="G560" t="s">
        <v>670</v>
      </c>
      <c r="H560" t="s">
        <v>486</v>
      </c>
      <c r="I560" t="s">
        <v>42</v>
      </c>
      <c r="J560" t="s">
        <v>26</v>
      </c>
      <c r="K560" t="s">
        <v>27</v>
      </c>
      <c r="L560" t="s">
        <v>74</v>
      </c>
      <c r="M560" t="s">
        <v>29</v>
      </c>
      <c r="N560" t="s">
        <v>30</v>
      </c>
      <c r="O560" t="s">
        <v>31</v>
      </c>
      <c r="P560" t="s">
        <v>75</v>
      </c>
      <c r="Q560" t="s">
        <v>514</v>
      </c>
      <c r="R560" t="s">
        <v>104</v>
      </c>
      <c r="S560" t="s">
        <v>1619</v>
      </c>
    </row>
    <row r="561" ht="55" customHeight="1" spans="1:19">
      <c r="A561" s="1" t="str">
        <f>_xlfn.DISPIMG("ID_B71E5CC128E04E8B9D576A5B0600ABF7",1)</f>
        <v>=DISPIMG("ID_B71E5CC128E04E8B9D576A5B0600ABF7",1)</v>
      </c>
      <c r="B561" t="s">
        <v>1620</v>
      </c>
      <c r="C561" t="s">
        <v>1621</v>
      </c>
      <c r="D561" t="s">
        <v>1160</v>
      </c>
      <c r="E561" t="s">
        <v>461</v>
      </c>
      <c r="F561" t="s">
        <v>173</v>
      </c>
      <c r="G561" t="s">
        <v>1622</v>
      </c>
      <c r="H561" t="s">
        <v>731</v>
      </c>
      <c r="I561" t="s">
        <v>175</v>
      </c>
      <c r="J561" t="s">
        <v>230</v>
      </c>
      <c r="K561" t="s">
        <v>27</v>
      </c>
      <c r="L561" t="s">
        <v>28</v>
      </c>
      <c r="M561" t="s">
        <v>93</v>
      </c>
      <c r="N561" t="s">
        <v>30</v>
      </c>
      <c r="O561" t="s">
        <v>31</v>
      </c>
      <c r="P561" t="s">
        <v>182</v>
      </c>
      <c r="Q561" t="s">
        <v>612</v>
      </c>
      <c r="R561" t="s">
        <v>147</v>
      </c>
      <c r="S561" t="s">
        <v>1623</v>
      </c>
    </row>
    <row r="562" ht="55" customHeight="1" spans="1:19">
      <c r="A562" s="1" t="str">
        <f>_xlfn.DISPIMG("ID_0F4764B9B45846E2B2BF60CFD8587B1A",1)</f>
        <v>=DISPIMG("ID_0F4764B9B45846E2B2BF60CFD8587B1A",1)</v>
      </c>
      <c r="B562" t="s">
        <v>1624</v>
      </c>
      <c r="C562" t="s">
        <v>1625</v>
      </c>
      <c r="D562" t="s">
        <v>1136</v>
      </c>
      <c r="E562" t="s">
        <v>135</v>
      </c>
      <c r="F562" t="s">
        <v>23</v>
      </c>
      <c r="G562" t="s">
        <v>1626</v>
      </c>
      <c r="H562" t="s">
        <v>135</v>
      </c>
      <c r="I562" t="s">
        <v>25</v>
      </c>
      <c r="J562" t="s">
        <v>230</v>
      </c>
      <c r="K562" t="s">
        <v>27</v>
      </c>
      <c r="L562" t="s">
        <v>74</v>
      </c>
      <c r="M562" t="s">
        <v>29</v>
      </c>
      <c r="N562" t="s">
        <v>30</v>
      </c>
      <c r="O562" t="s">
        <v>31</v>
      </c>
      <c r="P562" t="s">
        <v>698</v>
      </c>
      <c r="Q562" t="s">
        <v>427</v>
      </c>
      <c r="R562" t="s">
        <v>456</v>
      </c>
      <c r="S562" t="s">
        <v>1627</v>
      </c>
    </row>
    <row r="563" ht="55" customHeight="1" spans="1:19">
      <c r="A563" s="1" t="str">
        <f>_xlfn.DISPIMG("ID_94928BE0782547E99AD02A3B2D9B0735",1)</f>
        <v>=DISPIMG("ID_94928BE0782547E99AD02A3B2D9B0735",1)</v>
      </c>
      <c r="B563" t="s">
        <v>441</v>
      </c>
      <c r="C563" t="s">
        <v>1091</v>
      </c>
      <c r="D563" t="s">
        <v>695</v>
      </c>
      <c r="E563" t="s">
        <v>311</v>
      </c>
      <c r="F563" t="s">
        <v>162</v>
      </c>
      <c r="G563" t="s">
        <v>312</v>
      </c>
      <c r="H563" t="s">
        <v>39</v>
      </c>
      <c r="I563" t="s">
        <v>165</v>
      </c>
      <c r="J563" t="s">
        <v>26</v>
      </c>
      <c r="K563" t="s">
        <v>27</v>
      </c>
      <c r="L563" t="s">
        <v>231</v>
      </c>
      <c r="M563" t="s">
        <v>166</v>
      </c>
      <c r="N563" t="s">
        <v>30</v>
      </c>
      <c r="O563" t="s">
        <v>31</v>
      </c>
      <c r="P563" t="s">
        <v>351</v>
      </c>
      <c r="Q563" t="s">
        <v>76</v>
      </c>
      <c r="R563" t="s">
        <v>168</v>
      </c>
      <c r="S563" t="s">
        <v>1628</v>
      </c>
    </row>
    <row r="564" ht="55" customHeight="1" spans="1:19">
      <c r="A564" s="1" t="str">
        <f>_xlfn.DISPIMG("ID_91D672FCFE664FB2A4569CF37D0010DD",1)</f>
        <v>=DISPIMG("ID_91D672FCFE664FB2A4569CF37D0010DD",1)</v>
      </c>
      <c r="B564" t="s">
        <v>465</v>
      </c>
      <c r="C564" t="s">
        <v>545</v>
      </c>
      <c r="D564" t="s">
        <v>368</v>
      </c>
      <c r="E564" t="s">
        <v>135</v>
      </c>
      <c r="F564" t="s">
        <v>40</v>
      </c>
      <c r="G564" t="s">
        <v>246</v>
      </c>
      <c r="H564" t="s">
        <v>445</v>
      </c>
      <c r="I564" t="s">
        <v>42</v>
      </c>
      <c r="J564" t="s">
        <v>26</v>
      </c>
      <c r="K564" t="s">
        <v>27</v>
      </c>
      <c r="L564" t="s">
        <v>28</v>
      </c>
      <c r="M564" t="s">
        <v>29</v>
      </c>
      <c r="N564" t="s">
        <v>30</v>
      </c>
      <c r="O564" t="s">
        <v>31</v>
      </c>
      <c r="P564" t="s">
        <v>857</v>
      </c>
      <c r="Q564" t="s">
        <v>1629</v>
      </c>
      <c r="R564" t="s">
        <v>45</v>
      </c>
      <c r="S564" t="s">
        <v>1630</v>
      </c>
    </row>
    <row r="565" ht="55" customHeight="1" spans="1:19">
      <c r="A565" s="1" t="str">
        <f>_xlfn.DISPIMG("ID_43829293AA754CF49805210F147BD7FD",1)</f>
        <v>=DISPIMG("ID_43829293AA754CF49805210F147BD7FD",1)</v>
      </c>
      <c r="B565" t="s">
        <v>1631</v>
      </c>
      <c r="C565" t="s">
        <v>1632</v>
      </c>
      <c r="D565" t="s">
        <v>799</v>
      </c>
      <c r="E565" t="s">
        <v>305</v>
      </c>
      <c r="F565" t="s">
        <v>245</v>
      </c>
      <c r="G565" t="s">
        <v>638</v>
      </c>
      <c r="H565" t="s">
        <v>50</v>
      </c>
      <c r="I565" t="s">
        <v>175</v>
      </c>
      <c r="J565" t="s">
        <v>26</v>
      </c>
      <c r="K565" t="s">
        <v>27</v>
      </c>
      <c r="L565" t="s">
        <v>231</v>
      </c>
      <c r="M565" t="s">
        <v>93</v>
      </c>
      <c r="N565" t="s">
        <v>30</v>
      </c>
      <c r="O565" t="s">
        <v>31</v>
      </c>
      <c r="P565" t="s">
        <v>301</v>
      </c>
      <c r="Q565" t="s">
        <v>113</v>
      </c>
      <c r="R565" t="s">
        <v>1633</v>
      </c>
      <c r="S565" t="s">
        <v>1634</v>
      </c>
    </row>
    <row r="566" ht="55" customHeight="1" spans="1:19">
      <c r="A566" s="1" t="str">
        <f>_xlfn.DISPIMG("ID_5472F41DCDE2448990DB002702F8B8D9",1)</f>
        <v>=DISPIMG("ID_5472F41DCDE2448990DB002702F8B8D9",1)</v>
      </c>
      <c r="B566" t="s">
        <v>242</v>
      </c>
      <c r="C566" t="s">
        <v>591</v>
      </c>
      <c r="D566" t="s">
        <v>143</v>
      </c>
      <c r="E566" t="s">
        <v>144</v>
      </c>
      <c r="F566" t="s">
        <v>245</v>
      </c>
      <c r="G566" t="s">
        <v>436</v>
      </c>
      <c r="H566" t="s">
        <v>144</v>
      </c>
      <c r="I566" t="s">
        <v>165</v>
      </c>
      <c r="J566" t="s">
        <v>26</v>
      </c>
      <c r="K566" t="s">
        <v>27</v>
      </c>
      <c r="L566" t="s">
        <v>329</v>
      </c>
      <c r="M566" t="s">
        <v>93</v>
      </c>
      <c r="N566" t="s">
        <v>30</v>
      </c>
      <c r="O566" t="s">
        <v>31</v>
      </c>
      <c r="P566" t="s">
        <v>154</v>
      </c>
      <c r="Q566" t="s">
        <v>369</v>
      </c>
      <c r="R566" t="s">
        <v>249</v>
      </c>
      <c r="S566" t="s">
        <v>1635</v>
      </c>
    </row>
    <row r="567" ht="55" customHeight="1" spans="1:19">
      <c r="A567" s="1" t="str">
        <f>_xlfn.DISPIMG("ID_5728E3CA3FB54A45854A621C08256AB0",1)</f>
        <v>=DISPIMG("ID_5728E3CA3FB54A45854A621C08256AB0",1)</v>
      </c>
      <c r="B567" t="s">
        <v>1086</v>
      </c>
      <c r="C567" t="s">
        <v>1636</v>
      </c>
      <c r="D567" t="s">
        <v>978</v>
      </c>
      <c r="E567" t="s">
        <v>144</v>
      </c>
      <c r="F567" t="s">
        <v>162</v>
      </c>
      <c r="G567" t="s">
        <v>1593</v>
      </c>
      <c r="H567" t="s">
        <v>144</v>
      </c>
      <c r="I567" t="s">
        <v>165</v>
      </c>
      <c r="J567" t="s">
        <v>230</v>
      </c>
      <c r="K567" t="s">
        <v>27</v>
      </c>
      <c r="L567" t="s">
        <v>28</v>
      </c>
      <c r="M567" t="s">
        <v>166</v>
      </c>
      <c r="N567" t="s">
        <v>64</v>
      </c>
      <c r="O567" t="s">
        <v>31</v>
      </c>
      <c r="P567" t="s">
        <v>274</v>
      </c>
      <c r="Q567" t="s">
        <v>879</v>
      </c>
      <c r="R567" t="s">
        <v>147</v>
      </c>
      <c r="S567" t="s">
        <v>1637</v>
      </c>
    </row>
    <row r="568" ht="55" customHeight="1" spans="1:19">
      <c r="A568" s="1" t="str">
        <f>_xlfn.DISPIMG("ID_629624FCFCE54F6BB7387C0E50739A96",1)</f>
        <v>=DISPIMG("ID_629624FCFCE54F6BB7387C0E50739A96",1)</v>
      </c>
      <c r="B568" t="s">
        <v>441</v>
      </c>
      <c r="C568" t="s">
        <v>1091</v>
      </c>
      <c r="D568" t="s">
        <v>695</v>
      </c>
      <c r="E568" t="s">
        <v>311</v>
      </c>
      <c r="F568" t="s">
        <v>162</v>
      </c>
      <c r="G568" t="s">
        <v>312</v>
      </c>
      <c r="H568" t="s">
        <v>39</v>
      </c>
      <c r="I568" t="s">
        <v>165</v>
      </c>
      <c r="J568" t="s">
        <v>26</v>
      </c>
      <c r="K568" t="s">
        <v>27</v>
      </c>
      <c r="L568" t="s">
        <v>231</v>
      </c>
      <c r="M568" t="s">
        <v>166</v>
      </c>
      <c r="N568" t="s">
        <v>30</v>
      </c>
      <c r="O568" t="s">
        <v>31</v>
      </c>
      <c r="P568" t="s">
        <v>655</v>
      </c>
      <c r="Q568" t="s">
        <v>76</v>
      </c>
      <c r="R568" t="s">
        <v>168</v>
      </c>
      <c r="S568" t="s">
        <v>1638</v>
      </c>
    </row>
    <row r="569" ht="55" customHeight="1" spans="1:19">
      <c r="A569" s="1" t="str">
        <f>_xlfn.DISPIMG("ID_63E3022BE12A42D5BAB9669030A8155B",1)</f>
        <v>=DISPIMG("ID_63E3022BE12A42D5BAB9669030A8155B",1)</v>
      </c>
      <c r="B569" t="s">
        <v>1639</v>
      </c>
      <c r="C569" t="s">
        <v>355</v>
      </c>
      <c r="D569" t="s">
        <v>524</v>
      </c>
      <c r="E569" t="s">
        <v>63</v>
      </c>
      <c r="F569" t="s">
        <v>519</v>
      </c>
      <c r="G569" t="s">
        <v>1407</v>
      </c>
      <c r="H569" t="s">
        <v>63</v>
      </c>
      <c r="I569" t="s">
        <v>487</v>
      </c>
      <c r="J569" t="s">
        <v>26</v>
      </c>
      <c r="K569" t="s">
        <v>27</v>
      </c>
      <c r="L569" t="s">
        <v>74</v>
      </c>
      <c r="M569" t="s">
        <v>29</v>
      </c>
      <c r="N569" t="s">
        <v>30</v>
      </c>
      <c r="O569" t="s">
        <v>31</v>
      </c>
      <c r="P569" t="s">
        <v>65</v>
      </c>
      <c r="Q569" t="s">
        <v>155</v>
      </c>
      <c r="R569" t="s">
        <v>1640</v>
      </c>
      <c r="S569" t="s">
        <v>1641</v>
      </c>
    </row>
    <row r="570" ht="55" customHeight="1" spans="1:19">
      <c r="A570" s="1" t="str">
        <f>_xlfn.DISPIMG("ID_4E1883319EEB448C8893359D9202E34A",1)</f>
        <v>=DISPIMG("ID_4E1883319EEB448C8893359D9202E34A",1)</v>
      </c>
      <c r="B570" t="s">
        <v>236</v>
      </c>
      <c r="C570" t="s">
        <v>1642</v>
      </c>
      <c r="D570" t="s">
        <v>400</v>
      </c>
      <c r="E570" t="s">
        <v>211</v>
      </c>
      <c r="F570" t="s">
        <v>51</v>
      </c>
      <c r="G570" t="s">
        <v>449</v>
      </c>
      <c r="H570" t="s">
        <v>211</v>
      </c>
      <c r="I570" t="s">
        <v>42</v>
      </c>
      <c r="J570" t="s">
        <v>26</v>
      </c>
      <c r="K570" t="s">
        <v>27</v>
      </c>
      <c r="L570" t="s">
        <v>74</v>
      </c>
      <c r="M570" t="s">
        <v>29</v>
      </c>
      <c r="N570" t="s">
        <v>30</v>
      </c>
      <c r="O570" t="s">
        <v>31</v>
      </c>
      <c r="P570" t="s">
        <v>1643</v>
      </c>
      <c r="Q570" t="s">
        <v>352</v>
      </c>
      <c r="R570" t="s">
        <v>104</v>
      </c>
      <c r="S570" t="s">
        <v>1644</v>
      </c>
    </row>
    <row r="571" ht="55" customHeight="1" spans="1:19">
      <c r="A571" s="1" t="str">
        <f>_xlfn.DISPIMG("ID_438616314B48488BACDD8446242B156A",1)</f>
        <v>=DISPIMG("ID_438616314B48488BACDD8446242B156A",1)</v>
      </c>
      <c r="B571" t="s">
        <v>242</v>
      </c>
      <c r="C571" t="s">
        <v>1025</v>
      </c>
      <c r="D571" t="s">
        <v>244</v>
      </c>
      <c r="E571" t="s">
        <v>164</v>
      </c>
      <c r="F571" t="s">
        <v>245</v>
      </c>
      <c r="G571" t="s">
        <v>724</v>
      </c>
      <c r="H571" t="s">
        <v>164</v>
      </c>
      <c r="I571" t="s">
        <v>165</v>
      </c>
      <c r="J571" t="s">
        <v>26</v>
      </c>
      <c r="K571" t="s">
        <v>27</v>
      </c>
      <c r="L571" t="s">
        <v>557</v>
      </c>
      <c r="M571" t="s">
        <v>93</v>
      </c>
      <c r="N571" t="s">
        <v>30</v>
      </c>
      <c r="O571" t="s">
        <v>31</v>
      </c>
      <c r="P571" t="s">
        <v>221</v>
      </c>
      <c r="Q571" t="s">
        <v>369</v>
      </c>
      <c r="R571" t="s">
        <v>249</v>
      </c>
      <c r="S571" t="s">
        <v>1645</v>
      </c>
    </row>
    <row r="572" ht="55" customHeight="1" spans="1:19">
      <c r="A572" s="1" t="str">
        <f>_xlfn.DISPIMG("ID_A0E34F806ACC4F2F91E4F79F34A5108B",1)</f>
        <v>=DISPIMG("ID_A0E34F806ACC4F2F91E4F79F34A5108B",1)</v>
      </c>
      <c r="B572" t="s">
        <v>1010</v>
      </c>
      <c r="C572" t="s">
        <v>1646</v>
      </c>
      <c r="D572" t="s">
        <v>769</v>
      </c>
      <c r="E572" t="s">
        <v>413</v>
      </c>
      <c r="F572" t="s">
        <v>40</v>
      </c>
      <c r="G572" t="s">
        <v>1647</v>
      </c>
      <c r="H572" t="s">
        <v>100</v>
      </c>
      <c r="I572" t="s">
        <v>42</v>
      </c>
      <c r="J572" t="s">
        <v>26</v>
      </c>
      <c r="K572" t="s">
        <v>27</v>
      </c>
      <c r="L572" t="s">
        <v>28</v>
      </c>
      <c r="M572" t="s">
        <v>29</v>
      </c>
      <c r="N572" t="s">
        <v>30</v>
      </c>
      <c r="O572" t="s">
        <v>31</v>
      </c>
      <c r="P572" t="s">
        <v>351</v>
      </c>
      <c r="Q572" t="s">
        <v>612</v>
      </c>
      <c r="R572" t="s">
        <v>1648</v>
      </c>
      <c r="S572" t="s">
        <v>1649</v>
      </c>
    </row>
    <row r="573" ht="55" customHeight="1" spans="1:19">
      <c r="A573" s="1" t="str">
        <f>_xlfn.DISPIMG("ID_BF11ED0FA1C84C77A77DC367281B1ABF",1)</f>
        <v>=DISPIMG("ID_BF11ED0FA1C84C77A77DC367281B1ABF",1)</v>
      </c>
      <c r="B573" t="s">
        <v>106</v>
      </c>
      <c r="C573" t="s">
        <v>908</v>
      </c>
      <c r="D573" t="s">
        <v>435</v>
      </c>
      <c r="E573" t="s">
        <v>518</v>
      </c>
      <c r="F573" t="s">
        <v>40</v>
      </c>
      <c r="G573" t="s">
        <v>1650</v>
      </c>
      <c r="H573" t="s">
        <v>195</v>
      </c>
      <c r="I573" t="s">
        <v>42</v>
      </c>
      <c r="J573" t="s">
        <v>26</v>
      </c>
      <c r="K573" t="s">
        <v>27</v>
      </c>
      <c r="L573" t="s">
        <v>74</v>
      </c>
      <c r="M573" t="s">
        <v>29</v>
      </c>
      <c r="N573" t="s">
        <v>64</v>
      </c>
      <c r="O573" t="s">
        <v>31</v>
      </c>
      <c r="P573" t="s">
        <v>846</v>
      </c>
      <c r="Q573" t="s">
        <v>765</v>
      </c>
      <c r="R573" t="s">
        <v>114</v>
      </c>
      <c r="S573" t="s">
        <v>1651</v>
      </c>
    </row>
    <row r="574" ht="55" customHeight="1" spans="1:19">
      <c r="A574" s="1" t="str">
        <f>_xlfn.DISPIMG("ID_91EB101BCE054B69BF017A2423479D40",1)</f>
        <v>=DISPIMG("ID_91EB101BCE054B69BF017A2423479D40",1)</v>
      </c>
      <c r="B574" t="s">
        <v>69</v>
      </c>
      <c r="C574" t="s">
        <v>1562</v>
      </c>
      <c r="D574" t="s">
        <v>188</v>
      </c>
      <c r="E574" t="s">
        <v>144</v>
      </c>
      <c r="F574" t="s">
        <v>40</v>
      </c>
      <c r="G574" t="s">
        <v>312</v>
      </c>
      <c r="H574" t="s">
        <v>144</v>
      </c>
      <c r="I574" t="s">
        <v>25</v>
      </c>
      <c r="J574" t="s">
        <v>26</v>
      </c>
      <c r="K574" t="s">
        <v>27</v>
      </c>
      <c r="L574" t="s">
        <v>231</v>
      </c>
      <c r="M574" t="s">
        <v>29</v>
      </c>
      <c r="N574" t="s">
        <v>30</v>
      </c>
      <c r="O574" t="s">
        <v>31</v>
      </c>
      <c r="P574" t="s">
        <v>65</v>
      </c>
      <c r="Q574" t="s">
        <v>725</v>
      </c>
      <c r="R574" t="s">
        <v>77</v>
      </c>
      <c r="S574" t="s">
        <v>1652</v>
      </c>
    </row>
    <row r="575" ht="55" customHeight="1" spans="1:19">
      <c r="A575" s="1" t="str">
        <f>_xlfn.DISPIMG("ID_6FE6E28ECE71437ABBADF3B3E3D9D1B6",1)</f>
        <v>=DISPIMG("ID_6FE6E28ECE71437ABBADF3B3E3D9D1B6",1)</v>
      </c>
      <c r="B575" t="s">
        <v>158</v>
      </c>
      <c r="C575" t="s">
        <v>372</v>
      </c>
      <c r="D575" t="s">
        <v>160</v>
      </c>
      <c r="E575" t="s">
        <v>161</v>
      </c>
      <c r="F575" t="s">
        <v>162</v>
      </c>
      <c r="G575" t="s">
        <v>312</v>
      </c>
      <c r="H575" t="s">
        <v>164</v>
      </c>
      <c r="I575" t="s">
        <v>165</v>
      </c>
      <c r="J575" t="s">
        <v>26</v>
      </c>
      <c r="K575" t="s">
        <v>27</v>
      </c>
      <c r="L575" t="s">
        <v>28</v>
      </c>
      <c r="M575" t="s">
        <v>166</v>
      </c>
      <c r="N575" t="s">
        <v>30</v>
      </c>
      <c r="O575" t="s">
        <v>31</v>
      </c>
      <c r="P575" t="s">
        <v>285</v>
      </c>
      <c r="Q575" t="s">
        <v>76</v>
      </c>
      <c r="R575" t="s">
        <v>168</v>
      </c>
      <c r="S575" t="s">
        <v>1653</v>
      </c>
    </row>
    <row r="576" ht="55" customHeight="1" spans="1:19">
      <c r="A576" s="1" t="str">
        <f>_xlfn.DISPIMG("ID_17056F32104E4E5B854A6B8E257D2707",1)</f>
        <v>=DISPIMG("ID_17056F32104E4E5B854A6B8E257D2707",1)</v>
      </c>
      <c r="B576" t="s">
        <v>106</v>
      </c>
      <c r="C576" t="s">
        <v>855</v>
      </c>
      <c r="D576" t="s">
        <v>572</v>
      </c>
      <c r="E576" t="s">
        <v>573</v>
      </c>
      <c r="F576" t="s">
        <v>40</v>
      </c>
      <c r="G576" t="s">
        <v>541</v>
      </c>
      <c r="H576" t="s">
        <v>211</v>
      </c>
      <c r="I576" t="s">
        <v>42</v>
      </c>
      <c r="J576" t="s">
        <v>26</v>
      </c>
      <c r="K576" t="s">
        <v>27</v>
      </c>
      <c r="L576" t="s">
        <v>74</v>
      </c>
      <c r="M576" t="s">
        <v>29</v>
      </c>
      <c r="N576" t="s">
        <v>30</v>
      </c>
      <c r="O576" t="s">
        <v>31</v>
      </c>
      <c r="P576" t="s">
        <v>75</v>
      </c>
      <c r="Q576" t="s">
        <v>843</v>
      </c>
      <c r="R576" t="s">
        <v>114</v>
      </c>
      <c r="S576" t="s">
        <v>1654</v>
      </c>
    </row>
    <row r="577" ht="55" customHeight="1" spans="1:19">
      <c r="A577" s="1" t="str">
        <f>_xlfn.DISPIMG("ID_6F0C680927C74342933653AF9380D1A2",1)</f>
        <v>=DISPIMG("ID_6F0C680927C74342933653AF9380D1A2",1)</v>
      </c>
      <c r="B577" t="s">
        <v>476</v>
      </c>
      <c r="C577" t="s">
        <v>1400</v>
      </c>
      <c r="D577" t="s">
        <v>552</v>
      </c>
      <c r="E577" t="s">
        <v>507</v>
      </c>
      <c r="F577" t="s">
        <v>40</v>
      </c>
      <c r="G577" t="s">
        <v>894</v>
      </c>
      <c r="H577" t="s">
        <v>135</v>
      </c>
      <c r="I577" t="s">
        <v>42</v>
      </c>
      <c r="J577" t="s">
        <v>26</v>
      </c>
      <c r="K577" t="s">
        <v>27</v>
      </c>
      <c r="L577" t="s">
        <v>28</v>
      </c>
      <c r="M577" t="s">
        <v>29</v>
      </c>
      <c r="N577" t="s">
        <v>64</v>
      </c>
      <c r="O577" t="s">
        <v>31</v>
      </c>
      <c r="P577" t="s">
        <v>351</v>
      </c>
      <c r="Q577" t="s">
        <v>612</v>
      </c>
      <c r="R577" t="s">
        <v>114</v>
      </c>
      <c r="S577" t="s">
        <v>1655</v>
      </c>
    </row>
    <row r="578" ht="55" customHeight="1" spans="1:19">
      <c r="A578" s="1" t="str">
        <f>_xlfn.DISPIMG("ID_11A78CA245BB4182A7328E0254C0BC37",1)</f>
        <v>=DISPIMG("ID_11A78CA245BB4182A7328E0254C0BC37",1)</v>
      </c>
      <c r="B578" t="s">
        <v>1221</v>
      </c>
      <c r="C578" t="s">
        <v>489</v>
      </c>
      <c r="D578" t="s">
        <v>511</v>
      </c>
      <c r="E578" t="s">
        <v>204</v>
      </c>
      <c r="F578" t="s">
        <v>878</v>
      </c>
      <c r="G578" t="s">
        <v>690</v>
      </c>
      <c r="H578" t="s">
        <v>72</v>
      </c>
      <c r="I578" t="s">
        <v>165</v>
      </c>
      <c r="J578" t="s">
        <v>26</v>
      </c>
      <c r="K578" t="s">
        <v>27</v>
      </c>
      <c r="L578" t="s">
        <v>28</v>
      </c>
      <c r="M578" t="s">
        <v>93</v>
      </c>
      <c r="N578" t="s">
        <v>30</v>
      </c>
      <c r="O578" t="s">
        <v>31</v>
      </c>
      <c r="P578" t="s">
        <v>301</v>
      </c>
      <c r="Q578" t="s">
        <v>292</v>
      </c>
      <c r="R578" t="s">
        <v>318</v>
      </c>
      <c r="S578" t="s">
        <v>1656</v>
      </c>
    </row>
    <row r="579" ht="55" customHeight="1" spans="1:19">
      <c r="A579" s="1" t="str">
        <f>_xlfn.DISPIMG("ID_F36D3F0AE2F24E1388518A8EDFE9B905",1)</f>
        <v>=DISPIMG("ID_F36D3F0AE2F24E1388518A8EDFE9B905",1)</v>
      </c>
      <c r="B579" t="s">
        <v>610</v>
      </c>
      <c r="C579" t="s">
        <v>479</v>
      </c>
      <c r="D579" t="s">
        <v>483</v>
      </c>
      <c r="E579" t="s">
        <v>328</v>
      </c>
      <c r="F579" t="s">
        <v>40</v>
      </c>
      <c r="G579" t="s">
        <v>1657</v>
      </c>
      <c r="H579" t="s">
        <v>119</v>
      </c>
      <c r="I579" t="s">
        <v>25</v>
      </c>
      <c r="J579" t="s">
        <v>26</v>
      </c>
      <c r="K579" t="s">
        <v>27</v>
      </c>
      <c r="L579" t="s">
        <v>74</v>
      </c>
      <c r="M579" t="s">
        <v>29</v>
      </c>
      <c r="N579" t="s">
        <v>661</v>
      </c>
      <c r="O579" t="s">
        <v>31</v>
      </c>
      <c r="P579" t="s">
        <v>530</v>
      </c>
      <c r="Q579" t="s">
        <v>1658</v>
      </c>
      <c r="R579" t="s">
        <v>389</v>
      </c>
      <c r="S579" t="s">
        <v>1659</v>
      </c>
    </row>
    <row r="580" ht="55" customHeight="1" spans="1:19">
      <c r="A580" s="1" t="str">
        <f>_xlfn.DISPIMG("ID_64F278C38A2B48DCA98B1182F4E425D1",1)</f>
        <v>=DISPIMG("ID_64F278C38A2B48DCA98B1182F4E425D1",1)</v>
      </c>
      <c r="B580" t="s">
        <v>1571</v>
      </c>
      <c r="C580" t="s">
        <v>560</v>
      </c>
      <c r="D580" t="s">
        <v>118</v>
      </c>
      <c r="E580" t="s">
        <v>119</v>
      </c>
      <c r="F580" t="s">
        <v>91</v>
      </c>
      <c r="G580" t="s">
        <v>383</v>
      </c>
      <c r="H580" t="s">
        <v>119</v>
      </c>
      <c r="I580" t="s">
        <v>42</v>
      </c>
      <c r="J580" t="s">
        <v>26</v>
      </c>
      <c r="K580" t="s">
        <v>27</v>
      </c>
      <c r="L580" t="s">
        <v>28</v>
      </c>
      <c r="M580" t="s">
        <v>93</v>
      </c>
      <c r="N580" t="s">
        <v>30</v>
      </c>
      <c r="O580" t="s">
        <v>31</v>
      </c>
      <c r="P580" t="s">
        <v>1660</v>
      </c>
      <c r="Q580" t="s">
        <v>167</v>
      </c>
      <c r="R580" t="s">
        <v>940</v>
      </c>
      <c r="S580" t="s">
        <v>1661</v>
      </c>
    </row>
    <row r="581" ht="55" customHeight="1" spans="1:19">
      <c r="A581" s="1" t="str">
        <f>_xlfn.DISPIMG("ID_EF07062E44F54D759C8FEDAA007F0B70",1)</f>
        <v>=DISPIMG("ID_EF07062E44F54D759C8FEDAA007F0B70",1)</v>
      </c>
      <c r="B581" t="s">
        <v>170</v>
      </c>
      <c r="C581" t="s">
        <v>663</v>
      </c>
      <c r="D581" t="s">
        <v>1662</v>
      </c>
      <c r="E581" t="s">
        <v>100</v>
      </c>
      <c r="F581" t="s">
        <v>173</v>
      </c>
      <c r="G581" t="s">
        <v>942</v>
      </c>
      <c r="H581" t="s">
        <v>100</v>
      </c>
      <c r="I581" t="s">
        <v>175</v>
      </c>
      <c r="J581" t="s">
        <v>26</v>
      </c>
      <c r="K581" t="s">
        <v>27</v>
      </c>
      <c r="L581" t="s">
        <v>329</v>
      </c>
      <c r="M581" t="s">
        <v>93</v>
      </c>
      <c r="N581" t="s">
        <v>64</v>
      </c>
      <c r="O581" t="s">
        <v>31</v>
      </c>
      <c r="P581" t="s">
        <v>285</v>
      </c>
      <c r="Q581" t="s">
        <v>1663</v>
      </c>
      <c r="R581" t="s">
        <v>176</v>
      </c>
      <c r="S581" t="s">
        <v>1664</v>
      </c>
    </row>
    <row r="582" ht="55" customHeight="1" spans="1:19">
      <c r="A582" s="1" t="str">
        <f>_xlfn.DISPIMG("ID_4C59C520B03744D8B2E6544503007A00",1)</f>
        <v>=DISPIMG("ID_4C59C520B03744D8B2E6544503007A00",1)</v>
      </c>
      <c r="B582" t="s">
        <v>236</v>
      </c>
      <c r="C582" t="s">
        <v>59</v>
      </c>
      <c r="D582" t="s">
        <v>90</v>
      </c>
      <c r="E582" t="s">
        <v>39</v>
      </c>
      <c r="F582" t="s">
        <v>51</v>
      </c>
      <c r="G582" t="s">
        <v>1665</v>
      </c>
      <c r="H582" t="s">
        <v>39</v>
      </c>
      <c r="I582" t="s">
        <v>42</v>
      </c>
      <c r="J582" t="s">
        <v>26</v>
      </c>
      <c r="K582" t="s">
        <v>27</v>
      </c>
      <c r="L582" t="s">
        <v>53</v>
      </c>
      <c r="M582" t="s">
        <v>29</v>
      </c>
      <c r="N582" t="s">
        <v>30</v>
      </c>
      <c r="O582" t="s">
        <v>31</v>
      </c>
      <c r="P582" t="s">
        <v>65</v>
      </c>
      <c r="Q582" t="s">
        <v>85</v>
      </c>
      <c r="R582" t="s">
        <v>104</v>
      </c>
      <c r="S582" t="s">
        <v>1666</v>
      </c>
    </row>
    <row r="583" ht="55" customHeight="1" spans="1:19">
      <c r="A583" s="1" t="str">
        <f>_xlfn.DISPIMG("ID_72BBF96350EB481FB5F87B5779390386",1)</f>
        <v>=DISPIMG("ID_72BBF96350EB481FB5F87B5779390386",1)</v>
      </c>
      <c r="B583" t="s">
        <v>1667</v>
      </c>
      <c r="C583" t="s">
        <v>1668</v>
      </c>
      <c r="D583" t="s">
        <v>865</v>
      </c>
      <c r="E583" t="s">
        <v>197</v>
      </c>
      <c r="F583" t="s">
        <v>91</v>
      </c>
      <c r="G583" t="s">
        <v>246</v>
      </c>
      <c r="H583" t="s">
        <v>197</v>
      </c>
      <c r="I583" t="s">
        <v>189</v>
      </c>
      <c r="J583" t="s">
        <v>26</v>
      </c>
      <c r="K583" t="s">
        <v>27</v>
      </c>
      <c r="L583" t="s">
        <v>28</v>
      </c>
      <c r="M583" t="s">
        <v>93</v>
      </c>
      <c r="N583" t="s">
        <v>30</v>
      </c>
      <c r="O583" t="s">
        <v>31</v>
      </c>
      <c r="P583" t="s">
        <v>247</v>
      </c>
      <c r="Q583" t="s">
        <v>183</v>
      </c>
      <c r="R583" t="s">
        <v>130</v>
      </c>
      <c r="S583" t="s">
        <v>1669</v>
      </c>
    </row>
    <row r="584" ht="55" customHeight="1" spans="1:19">
      <c r="A584" s="1" t="str">
        <f>_xlfn.DISPIMG("ID_2E3D89E817E44DC7B3EF533BA7C8BED3",1)</f>
        <v>=DISPIMG("ID_2E3D89E817E44DC7B3EF533BA7C8BED3",1)</v>
      </c>
      <c r="B584" t="s">
        <v>36</v>
      </c>
      <c r="C584" t="s">
        <v>908</v>
      </c>
      <c r="D584" t="s">
        <v>865</v>
      </c>
      <c r="E584" t="s">
        <v>197</v>
      </c>
      <c r="F584" t="s">
        <v>40</v>
      </c>
      <c r="G584" t="s">
        <v>312</v>
      </c>
      <c r="H584" t="s">
        <v>197</v>
      </c>
      <c r="I584" t="s">
        <v>42</v>
      </c>
      <c r="J584" t="s">
        <v>26</v>
      </c>
      <c r="K584" t="s">
        <v>27</v>
      </c>
      <c r="L584" t="s">
        <v>28</v>
      </c>
      <c r="M584" t="s">
        <v>29</v>
      </c>
      <c r="N584" t="s">
        <v>30</v>
      </c>
      <c r="O584" t="s">
        <v>31</v>
      </c>
      <c r="P584" t="s">
        <v>1670</v>
      </c>
      <c r="Q584" t="s">
        <v>44</v>
      </c>
      <c r="R584" t="s">
        <v>45</v>
      </c>
      <c r="S584" t="s">
        <v>1671</v>
      </c>
    </row>
    <row r="585" ht="55" customHeight="1" spans="1:19">
      <c r="A585" s="1" t="str">
        <f>_xlfn.DISPIMG("ID_5D114E5B7C4647ECB17CEB6F0648AB51",1)</f>
        <v>=DISPIMG("ID_5D114E5B7C4647ECB17CEB6F0648AB51",1)</v>
      </c>
      <c r="B585" t="s">
        <v>257</v>
      </c>
      <c r="C585" t="s">
        <v>258</v>
      </c>
      <c r="D585" t="s">
        <v>49</v>
      </c>
      <c r="E585" t="s">
        <v>50</v>
      </c>
      <c r="F585" t="s">
        <v>51</v>
      </c>
      <c r="G585" t="s">
        <v>174</v>
      </c>
      <c r="H585" t="s">
        <v>50</v>
      </c>
      <c r="I585" t="s">
        <v>25</v>
      </c>
      <c r="J585" t="s">
        <v>26</v>
      </c>
      <c r="K585" t="s">
        <v>27</v>
      </c>
      <c r="L585" t="s">
        <v>28</v>
      </c>
      <c r="M585" t="s">
        <v>29</v>
      </c>
      <c r="N585" t="s">
        <v>30</v>
      </c>
      <c r="O585" t="s">
        <v>31</v>
      </c>
      <c r="P585" t="s">
        <v>65</v>
      </c>
      <c r="Q585" t="s">
        <v>76</v>
      </c>
      <c r="R585" t="s">
        <v>263</v>
      </c>
      <c r="S585" t="s">
        <v>1672</v>
      </c>
    </row>
    <row r="586" ht="55" customHeight="1" spans="1:19">
      <c r="A586" s="1" t="str">
        <f>_xlfn.DISPIMG("ID_EE769814B50E4EA8928848300B3CDCE8",1)</f>
        <v>=DISPIMG("ID_EE769814B50E4EA8928848300B3CDCE8",1)</v>
      </c>
      <c r="B586" t="s">
        <v>158</v>
      </c>
      <c r="C586" t="s">
        <v>372</v>
      </c>
      <c r="D586" t="s">
        <v>511</v>
      </c>
      <c r="E586" t="s">
        <v>204</v>
      </c>
      <c r="F586" t="s">
        <v>162</v>
      </c>
      <c r="G586" t="s">
        <v>306</v>
      </c>
      <c r="H586" t="s">
        <v>72</v>
      </c>
      <c r="I586" t="s">
        <v>165</v>
      </c>
      <c r="J586" t="s">
        <v>26</v>
      </c>
      <c r="K586" t="s">
        <v>27</v>
      </c>
      <c r="L586" t="s">
        <v>28</v>
      </c>
      <c r="M586" t="s">
        <v>166</v>
      </c>
      <c r="N586" t="s">
        <v>30</v>
      </c>
      <c r="O586" t="s">
        <v>31</v>
      </c>
      <c r="P586" t="s">
        <v>285</v>
      </c>
      <c r="Q586" t="s">
        <v>76</v>
      </c>
      <c r="R586" t="s">
        <v>168</v>
      </c>
      <c r="S586" t="s">
        <v>1673</v>
      </c>
    </row>
    <row r="587" ht="55" customHeight="1" spans="1:19">
      <c r="A587" s="1" t="str">
        <f>_xlfn.DISPIMG("ID_AD814E9E07834293B6AA5E02AB54F372",1)</f>
        <v>=DISPIMG("ID_AD814E9E07834293B6AA5E02AB54F372",1)</v>
      </c>
      <c r="B587" t="s">
        <v>1221</v>
      </c>
      <c r="C587" t="s">
        <v>1674</v>
      </c>
      <c r="D587" t="s">
        <v>315</v>
      </c>
      <c r="E587" t="s">
        <v>641</v>
      </c>
      <c r="F587" t="s">
        <v>878</v>
      </c>
      <c r="G587" t="s">
        <v>254</v>
      </c>
      <c r="H587" t="s">
        <v>641</v>
      </c>
      <c r="I587" t="s">
        <v>165</v>
      </c>
      <c r="J587" t="s">
        <v>26</v>
      </c>
      <c r="K587" t="s">
        <v>27</v>
      </c>
      <c r="L587" t="s">
        <v>28</v>
      </c>
      <c r="M587" t="s">
        <v>93</v>
      </c>
      <c r="N587" t="s">
        <v>30</v>
      </c>
      <c r="O587" t="s">
        <v>31</v>
      </c>
      <c r="P587" t="s">
        <v>1474</v>
      </c>
      <c r="Q587" t="s">
        <v>76</v>
      </c>
      <c r="R587" t="s">
        <v>318</v>
      </c>
      <c r="S587" t="s">
        <v>1675</v>
      </c>
    </row>
    <row r="588" ht="55" customHeight="1" spans="1:19">
      <c r="A588" s="1" t="str">
        <f>_xlfn.DISPIMG("ID_0377670579C64BB9A23393338F0B164C",1)</f>
        <v>=DISPIMG("ID_0377670579C64BB9A23393338F0B164C",1)</v>
      </c>
      <c r="B588" t="s">
        <v>257</v>
      </c>
      <c r="C588" t="s">
        <v>430</v>
      </c>
      <c r="D588" t="s">
        <v>425</v>
      </c>
      <c r="E588" t="s">
        <v>486</v>
      </c>
      <c r="F588" t="s">
        <v>51</v>
      </c>
      <c r="G588" t="s">
        <v>1676</v>
      </c>
      <c r="H588" t="s">
        <v>486</v>
      </c>
      <c r="I588" t="s">
        <v>25</v>
      </c>
      <c r="J588" t="s">
        <v>26</v>
      </c>
      <c r="K588" t="s">
        <v>27</v>
      </c>
      <c r="L588" t="s">
        <v>74</v>
      </c>
      <c r="M588" t="s">
        <v>29</v>
      </c>
      <c r="N588" t="s">
        <v>30</v>
      </c>
      <c r="O588" t="s">
        <v>31</v>
      </c>
      <c r="P588" t="s">
        <v>1677</v>
      </c>
      <c r="Q588" t="s">
        <v>76</v>
      </c>
      <c r="R588" t="s">
        <v>263</v>
      </c>
      <c r="S588" t="s">
        <v>1678</v>
      </c>
    </row>
    <row r="589" ht="55" customHeight="1" spans="1:19">
      <c r="A589" s="1" t="str">
        <f>_xlfn.DISPIMG("ID_25BFAF4DE7C947BCAA466DBCC9D2C4E5",1)</f>
        <v>=DISPIMG("ID_25BFAF4DE7C947BCAA466DBCC9D2C4E5",1)</v>
      </c>
      <c r="B589" t="s">
        <v>36</v>
      </c>
      <c r="C589" t="s">
        <v>1679</v>
      </c>
      <c r="D589" t="s">
        <v>973</v>
      </c>
      <c r="E589" t="s">
        <v>61</v>
      </c>
      <c r="F589" t="s">
        <v>40</v>
      </c>
      <c r="G589" t="s">
        <v>1680</v>
      </c>
      <c r="H589" t="s">
        <v>63</v>
      </c>
      <c r="I589" t="s">
        <v>42</v>
      </c>
      <c r="J589" t="s">
        <v>26</v>
      </c>
      <c r="K589" t="s">
        <v>27</v>
      </c>
      <c r="L589" t="s">
        <v>28</v>
      </c>
      <c r="M589" t="s">
        <v>29</v>
      </c>
      <c r="N589" t="s">
        <v>30</v>
      </c>
      <c r="O589" t="s">
        <v>31</v>
      </c>
      <c r="P589" t="s">
        <v>154</v>
      </c>
      <c r="Q589" t="s">
        <v>122</v>
      </c>
      <c r="R589" t="s">
        <v>45</v>
      </c>
      <c r="S589" t="s">
        <v>1681</v>
      </c>
    </row>
    <row r="590" ht="55" customHeight="1" spans="1:19">
      <c r="A590" s="1" t="str">
        <f>_xlfn.DISPIMG("ID_74A1F856388A41FDA7BAD4C0CFBE8A42",1)</f>
        <v>=DISPIMG("ID_74A1F856388A41FDA7BAD4C0CFBE8A42",1)</v>
      </c>
      <c r="B590" t="s">
        <v>406</v>
      </c>
      <c r="C590" t="s">
        <v>1183</v>
      </c>
      <c r="D590" t="s">
        <v>310</v>
      </c>
      <c r="E590" t="s">
        <v>311</v>
      </c>
      <c r="F590" t="s">
        <v>40</v>
      </c>
      <c r="G590" t="s">
        <v>670</v>
      </c>
      <c r="H590" t="s">
        <v>39</v>
      </c>
      <c r="I590" t="s">
        <v>42</v>
      </c>
      <c r="J590" t="s">
        <v>26</v>
      </c>
      <c r="K590" t="s">
        <v>27</v>
      </c>
      <c r="L590" t="s">
        <v>28</v>
      </c>
      <c r="M590" t="s">
        <v>29</v>
      </c>
      <c r="N590" t="s">
        <v>64</v>
      </c>
      <c r="O590" t="s">
        <v>31</v>
      </c>
      <c r="P590" t="s">
        <v>138</v>
      </c>
      <c r="Q590" t="s">
        <v>199</v>
      </c>
      <c r="R590" t="s">
        <v>409</v>
      </c>
      <c r="S590" t="s">
        <v>1682</v>
      </c>
    </row>
    <row r="591" ht="55" customHeight="1" spans="1:19">
      <c r="A591" s="1" t="str">
        <f>_xlfn.DISPIMG("ID_C13440C9C84D427DB850D3EA0345F948",1)</f>
        <v>=DISPIMG("ID_C13440C9C84D427DB850D3EA0345F948",1)</v>
      </c>
      <c r="B591" t="s">
        <v>877</v>
      </c>
      <c r="C591" t="s">
        <v>663</v>
      </c>
      <c r="D591" t="s">
        <v>60</v>
      </c>
      <c r="E591" t="s">
        <v>61</v>
      </c>
      <c r="F591" t="s">
        <v>878</v>
      </c>
      <c r="G591" t="s">
        <v>431</v>
      </c>
      <c r="H591" t="s">
        <v>63</v>
      </c>
      <c r="I591" t="s">
        <v>189</v>
      </c>
      <c r="J591" t="s">
        <v>26</v>
      </c>
      <c r="K591" t="s">
        <v>27</v>
      </c>
      <c r="L591" t="s">
        <v>28</v>
      </c>
      <c r="M591" t="s">
        <v>93</v>
      </c>
      <c r="N591" t="s">
        <v>30</v>
      </c>
      <c r="O591" t="s">
        <v>31</v>
      </c>
      <c r="P591" t="s">
        <v>146</v>
      </c>
      <c r="Q591" t="s">
        <v>76</v>
      </c>
      <c r="R591" t="s">
        <v>880</v>
      </c>
      <c r="S591" t="s">
        <v>1683</v>
      </c>
    </row>
    <row r="592" ht="55" customHeight="1" spans="1:19">
      <c r="A592" s="1" t="str">
        <f>_xlfn.DISPIMG("ID_06B48AE26F634639A5E19AFB9ABCC242",1)</f>
        <v>=DISPIMG("ID_06B48AE26F634639A5E19AFB9ABCC242",1)</v>
      </c>
      <c r="B592" t="s">
        <v>1684</v>
      </c>
      <c r="C592" t="s">
        <v>1222</v>
      </c>
      <c r="D592" t="s">
        <v>1685</v>
      </c>
      <c r="E592" t="s">
        <v>1095</v>
      </c>
      <c r="F592" t="s">
        <v>512</v>
      </c>
      <c r="G592" t="s">
        <v>1686</v>
      </c>
      <c r="H592" t="s">
        <v>1095</v>
      </c>
      <c r="I592" t="s">
        <v>25</v>
      </c>
      <c r="J592" t="s">
        <v>26</v>
      </c>
      <c r="K592" t="s">
        <v>27</v>
      </c>
      <c r="L592" t="s">
        <v>323</v>
      </c>
      <c r="M592" t="s">
        <v>513</v>
      </c>
      <c r="N592" t="s">
        <v>30</v>
      </c>
      <c r="O592" t="s">
        <v>153</v>
      </c>
      <c r="P592" t="s">
        <v>75</v>
      </c>
      <c r="Q592" t="s">
        <v>167</v>
      </c>
      <c r="R592" t="s">
        <v>1499</v>
      </c>
      <c r="S592" t="s">
        <v>1687</v>
      </c>
    </row>
    <row r="593" ht="55" customHeight="1" spans="1:19">
      <c r="A593" s="1" t="str">
        <f>_xlfn.DISPIMG("ID_84C1277CD03F4B92AE779C2F523886F8",1)</f>
        <v>=DISPIMG("ID_84C1277CD03F4B92AE779C2F523886F8",1)</v>
      </c>
      <c r="B593" t="s">
        <v>406</v>
      </c>
      <c r="C593" t="s">
        <v>1688</v>
      </c>
      <c r="D593" t="s">
        <v>412</v>
      </c>
      <c r="E593" t="s">
        <v>413</v>
      </c>
      <c r="F593" t="s">
        <v>40</v>
      </c>
      <c r="G593" t="s">
        <v>312</v>
      </c>
      <c r="H593" t="s">
        <v>100</v>
      </c>
      <c r="I593" t="s">
        <v>42</v>
      </c>
      <c r="J593" t="s">
        <v>26</v>
      </c>
      <c r="K593" t="s">
        <v>27</v>
      </c>
      <c r="L593" t="s">
        <v>74</v>
      </c>
      <c r="M593" t="s">
        <v>29</v>
      </c>
      <c r="N593" t="s">
        <v>64</v>
      </c>
      <c r="O593" t="s">
        <v>31</v>
      </c>
      <c r="P593" t="s">
        <v>221</v>
      </c>
      <c r="Q593" t="s">
        <v>255</v>
      </c>
      <c r="R593" t="s">
        <v>409</v>
      </c>
      <c r="S593" t="s">
        <v>1689</v>
      </c>
    </row>
    <row r="594" ht="55" customHeight="1" spans="1:19">
      <c r="A594" s="1" t="str">
        <f>_xlfn.DISPIMG("ID_F207BB16C8DB494C976126DA58E97034",1)</f>
        <v>=DISPIMG("ID_F207BB16C8DB494C976126DA58E97034",1)</v>
      </c>
      <c r="B594" t="s">
        <v>829</v>
      </c>
      <c r="C594" t="s">
        <v>1049</v>
      </c>
      <c r="D594" t="s">
        <v>708</v>
      </c>
      <c r="E594" t="s">
        <v>709</v>
      </c>
      <c r="F594" t="s">
        <v>40</v>
      </c>
      <c r="G594" t="s">
        <v>1690</v>
      </c>
      <c r="H594" t="s">
        <v>111</v>
      </c>
      <c r="I594" t="s">
        <v>42</v>
      </c>
      <c r="J594" t="s">
        <v>26</v>
      </c>
      <c r="K594" t="s">
        <v>27</v>
      </c>
      <c r="L594" t="s">
        <v>28</v>
      </c>
      <c r="M594" t="s">
        <v>29</v>
      </c>
      <c r="N594" t="s">
        <v>30</v>
      </c>
      <c r="O594" t="s">
        <v>31</v>
      </c>
      <c r="P594" t="s">
        <v>75</v>
      </c>
      <c r="Q594" t="s">
        <v>85</v>
      </c>
      <c r="R594" t="s">
        <v>1691</v>
      </c>
      <c r="S594" t="s">
        <v>1692</v>
      </c>
    </row>
    <row r="595" ht="55" customHeight="1" spans="1:19">
      <c r="A595" s="1" t="str">
        <f>_xlfn.DISPIMG("ID_4D3D261B3E824D2AA1D8170A315C7C3E",1)</f>
        <v>=DISPIMG("ID_4D3D261B3E824D2AA1D8170A315C7C3E",1)</v>
      </c>
      <c r="B595" t="s">
        <v>1101</v>
      </c>
      <c r="C595" t="s">
        <v>1693</v>
      </c>
      <c r="D595" t="s">
        <v>762</v>
      </c>
      <c r="E595" t="s">
        <v>1694</v>
      </c>
      <c r="F595" t="s">
        <v>40</v>
      </c>
      <c r="G595" t="s">
        <v>436</v>
      </c>
      <c r="H595" t="s">
        <v>1095</v>
      </c>
      <c r="I595" t="s">
        <v>42</v>
      </c>
      <c r="J595" t="s">
        <v>26</v>
      </c>
      <c r="K595" t="s">
        <v>27</v>
      </c>
      <c r="L595" t="s">
        <v>74</v>
      </c>
      <c r="M595" t="s">
        <v>29</v>
      </c>
      <c r="N595" t="s">
        <v>30</v>
      </c>
      <c r="O595" t="s">
        <v>31</v>
      </c>
      <c r="P595" t="s">
        <v>206</v>
      </c>
      <c r="Q595" t="s">
        <v>222</v>
      </c>
      <c r="R595" t="s">
        <v>45</v>
      </c>
      <c r="S595" t="s">
        <v>1695</v>
      </c>
    </row>
    <row r="596" ht="55" customHeight="1" spans="1:19">
      <c r="A596" s="1" t="str">
        <f>_xlfn.DISPIMG("ID_BD861546E60148BB8D86F44321DBA7B9",1)</f>
        <v>=DISPIMG("ID_BD861546E60148BB8D86F44321DBA7B9",1)</v>
      </c>
      <c r="B596" t="s">
        <v>815</v>
      </c>
      <c r="C596" t="s">
        <v>150</v>
      </c>
      <c r="D596" t="s">
        <v>349</v>
      </c>
      <c r="E596" t="s">
        <v>461</v>
      </c>
      <c r="F596" t="s">
        <v>91</v>
      </c>
      <c r="G596" t="s">
        <v>1696</v>
      </c>
      <c r="H596" t="s">
        <v>461</v>
      </c>
      <c r="I596" t="s">
        <v>175</v>
      </c>
      <c r="J596" t="s">
        <v>26</v>
      </c>
      <c r="K596" t="s">
        <v>27</v>
      </c>
      <c r="L596" t="s">
        <v>28</v>
      </c>
      <c r="M596" t="s">
        <v>93</v>
      </c>
      <c r="N596" t="s">
        <v>64</v>
      </c>
      <c r="O596" t="s">
        <v>31</v>
      </c>
      <c r="P596" t="s">
        <v>491</v>
      </c>
      <c r="Q596" t="s">
        <v>1311</v>
      </c>
      <c r="R596" t="s">
        <v>147</v>
      </c>
      <c r="S596" t="s">
        <v>1697</v>
      </c>
    </row>
    <row r="597" ht="55" customHeight="1" spans="1:19">
      <c r="A597" s="1" t="str">
        <f>_xlfn.DISPIMG("ID_A6B01E4D1832451F959E69B2C71419C3",1)</f>
        <v>=DISPIMG("ID_A6B01E4D1832451F959E69B2C71419C3",1)</v>
      </c>
      <c r="B597" t="s">
        <v>877</v>
      </c>
      <c r="C597" t="s">
        <v>1698</v>
      </c>
      <c r="D597" t="s">
        <v>506</v>
      </c>
      <c r="E597" t="s">
        <v>507</v>
      </c>
      <c r="F597" t="s">
        <v>878</v>
      </c>
      <c r="G597" t="s">
        <v>1699</v>
      </c>
      <c r="H597" t="s">
        <v>135</v>
      </c>
      <c r="I597" t="s">
        <v>189</v>
      </c>
      <c r="J597" t="s">
        <v>26</v>
      </c>
      <c r="K597" t="s">
        <v>27</v>
      </c>
      <c r="L597" t="s">
        <v>323</v>
      </c>
      <c r="M597" t="s">
        <v>93</v>
      </c>
      <c r="N597" t="s">
        <v>30</v>
      </c>
      <c r="O597" t="s">
        <v>31</v>
      </c>
      <c r="P597" t="s">
        <v>351</v>
      </c>
      <c r="Q597" t="s">
        <v>255</v>
      </c>
      <c r="R597" t="s">
        <v>147</v>
      </c>
      <c r="S597" t="s">
        <v>1700</v>
      </c>
    </row>
    <row r="598" ht="55" customHeight="1" spans="1:19">
      <c r="A598" s="1" t="str">
        <f>_xlfn.DISPIMG("ID_53740C4B0DDF4D86878ACB486C96422A",1)</f>
        <v>=DISPIMG("ID_53740C4B0DDF4D86878ACB486C96422A",1)</v>
      </c>
      <c r="B598" t="s">
        <v>288</v>
      </c>
      <c r="C598" t="s">
        <v>819</v>
      </c>
      <c r="D598" t="s">
        <v>327</v>
      </c>
      <c r="E598" t="s">
        <v>484</v>
      </c>
      <c r="F598" t="s">
        <v>290</v>
      </c>
      <c r="G598" t="s">
        <v>1343</v>
      </c>
      <c r="H598" t="s">
        <v>392</v>
      </c>
      <c r="I598" t="s">
        <v>42</v>
      </c>
      <c r="J598" t="s">
        <v>26</v>
      </c>
      <c r="K598" t="s">
        <v>27</v>
      </c>
      <c r="L598" t="s">
        <v>28</v>
      </c>
      <c r="M598" t="s">
        <v>93</v>
      </c>
      <c r="N598" t="s">
        <v>30</v>
      </c>
      <c r="O598" t="s">
        <v>31</v>
      </c>
      <c r="P598" t="s">
        <v>491</v>
      </c>
      <c r="Q598" t="s">
        <v>183</v>
      </c>
      <c r="R598" t="s">
        <v>293</v>
      </c>
      <c r="S598" t="s">
        <v>1701</v>
      </c>
    </row>
    <row r="599" ht="55" customHeight="1" spans="1:19">
      <c r="A599" s="1" t="str">
        <f>_xlfn.DISPIMG("ID_12061399817C4DF4BAF3D2ECC5E53DCC",1)</f>
        <v>=DISPIMG("ID_12061399817C4DF4BAF3D2ECC5E53DCC",1)</v>
      </c>
      <c r="B599" t="s">
        <v>1702</v>
      </c>
      <c r="C599" t="s">
        <v>126</v>
      </c>
      <c r="D599" t="s">
        <v>466</v>
      </c>
      <c r="E599" t="s">
        <v>1703</v>
      </c>
      <c r="F599" t="s">
        <v>91</v>
      </c>
      <c r="G599" t="s">
        <v>1704</v>
      </c>
      <c r="H599" t="s">
        <v>357</v>
      </c>
      <c r="I599" t="s">
        <v>25</v>
      </c>
      <c r="J599" t="s">
        <v>26</v>
      </c>
      <c r="K599" t="s">
        <v>27</v>
      </c>
      <c r="L599" t="s">
        <v>231</v>
      </c>
      <c r="M599" t="s">
        <v>93</v>
      </c>
      <c r="N599" t="s">
        <v>30</v>
      </c>
      <c r="O599" t="s">
        <v>31</v>
      </c>
      <c r="P599" t="s">
        <v>268</v>
      </c>
      <c r="Q599" t="s">
        <v>122</v>
      </c>
      <c r="R599" t="s">
        <v>147</v>
      </c>
      <c r="S599" t="s">
        <v>1705</v>
      </c>
    </row>
    <row r="600" ht="55" customHeight="1" spans="1:19">
      <c r="A600" s="1" t="str">
        <f>_xlfn.DISPIMG("ID_594E4FB9A7904D8B9301027A4088BF68",1)</f>
        <v>=DISPIMG("ID_594E4FB9A7904D8B9301027A4088BF68",1)</v>
      </c>
      <c r="B600" t="s">
        <v>465</v>
      </c>
      <c r="C600" t="s">
        <v>1097</v>
      </c>
      <c r="D600" t="s">
        <v>973</v>
      </c>
      <c r="E600" t="s">
        <v>61</v>
      </c>
      <c r="F600" t="s">
        <v>40</v>
      </c>
      <c r="G600" t="s">
        <v>312</v>
      </c>
      <c r="H600" t="s">
        <v>63</v>
      </c>
      <c r="I600" t="s">
        <v>42</v>
      </c>
      <c r="J600" t="s">
        <v>26</v>
      </c>
      <c r="K600" t="s">
        <v>27</v>
      </c>
      <c r="L600" t="s">
        <v>74</v>
      </c>
      <c r="M600" t="s">
        <v>29</v>
      </c>
      <c r="N600" t="s">
        <v>30</v>
      </c>
      <c r="O600" t="s">
        <v>31</v>
      </c>
      <c r="P600" t="s">
        <v>138</v>
      </c>
      <c r="Q600" t="s">
        <v>183</v>
      </c>
      <c r="R600" t="s">
        <v>86</v>
      </c>
      <c r="S600" t="s">
        <v>1706</v>
      </c>
    </row>
    <row r="601" ht="55" customHeight="1" spans="1:19">
      <c r="A601" s="1" t="str">
        <f>_xlfn.DISPIMG("ID_BBCCD52FC38347DAB9C4B4BE7215FA5A",1)</f>
        <v>=DISPIMG("ID_BBCCD52FC38347DAB9C4B4BE7215FA5A",1)</v>
      </c>
      <c r="B601" t="s">
        <v>106</v>
      </c>
      <c r="C601" t="s">
        <v>407</v>
      </c>
      <c r="D601" t="s">
        <v>71</v>
      </c>
      <c r="E601" t="s">
        <v>72</v>
      </c>
      <c r="F601" t="s">
        <v>40</v>
      </c>
      <c r="G601" t="s">
        <v>127</v>
      </c>
      <c r="H601" t="s">
        <v>197</v>
      </c>
      <c r="I601" t="s">
        <v>42</v>
      </c>
      <c r="J601" t="s">
        <v>26</v>
      </c>
      <c r="K601" t="s">
        <v>27</v>
      </c>
      <c r="L601" t="s">
        <v>53</v>
      </c>
      <c r="M601" t="s">
        <v>29</v>
      </c>
      <c r="N601" t="s">
        <v>30</v>
      </c>
      <c r="O601" t="s">
        <v>31</v>
      </c>
      <c r="P601" t="s">
        <v>75</v>
      </c>
      <c r="Q601" t="s">
        <v>752</v>
      </c>
      <c r="R601" t="s">
        <v>114</v>
      </c>
      <c r="S601" t="s">
        <v>1707</v>
      </c>
    </row>
    <row r="602" ht="55" customHeight="1" spans="1:19">
      <c r="A602" s="1" t="str">
        <f>_xlfn.DISPIMG("ID_0F3A74F227C443D9B3987AC89ED4A1AB",1)</f>
        <v>=DISPIMG("ID_0F3A74F227C443D9B3987AC89ED4A1AB",1)</v>
      </c>
      <c r="B602" t="s">
        <v>58</v>
      </c>
      <c r="C602" t="s">
        <v>1708</v>
      </c>
      <c r="D602" t="s">
        <v>442</v>
      </c>
      <c r="E602" t="s">
        <v>82</v>
      </c>
      <c r="F602" t="s">
        <v>51</v>
      </c>
      <c r="G602" t="s">
        <v>894</v>
      </c>
      <c r="H602" t="s">
        <v>84</v>
      </c>
      <c r="I602" t="s">
        <v>42</v>
      </c>
      <c r="J602" t="s">
        <v>26</v>
      </c>
      <c r="K602" t="s">
        <v>27</v>
      </c>
      <c r="L602" t="s">
        <v>74</v>
      </c>
      <c r="M602" t="s">
        <v>29</v>
      </c>
      <c r="N602" t="s">
        <v>64</v>
      </c>
      <c r="O602" t="s">
        <v>31</v>
      </c>
      <c r="P602" t="s">
        <v>65</v>
      </c>
      <c r="Q602" t="s">
        <v>858</v>
      </c>
      <c r="R602" t="s">
        <v>409</v>
      </c>
      <c r="S602" t="s">
        <v>1709</v>
      </c>
    </row>
    <row r="603" ht="55" customHeight="1" spans="1:19">
      <c r="A603" s="1" t="str">
        <f>_xlfn.DISPIMG("ID_D7D1AC852549491E98B09A8D2DF5EEF4",1)</f>
        <v>=DISPIMG("ID_D7D1AC852549491E98B09A8D2DF5EEF4",1)</v>
      </c>
      <c r="B603" t="s">
        <v>465</v>
      </c>
      <c r="C603" t="s">
        <v>1710</v>
      </c>
      <c r="D603" t="s">
        <v>973</v>
      </c>
      <c r="E603" t="s">
        <v>238</v>
      </c>
      <c r="F603" t="s">
        <v>40</v>
      </c>
      <c r="G603" t="s">
        <v>744</v>
      </c>
      <c r="H603" t="s">
        <v>238</v>
      </c>
      <c r="I603" t="s">
        <v>42</v>
      </c>
      <c r="J603" t="s">
        <v>26</v>
      </c>
      <c r="K603" t="s">
        <v>27</v>
      </c>
      <c r="L603" t="s">
        <v>53</v>
      </c>
      <c r="M603" t="s">
        <v>29</v>
      </c>
      <c r="N603" t="s">
        <v>30</v>
      </c>
      <c r="O603" t="s">
        <v>31</v>
      </c>
      <c r="P603" t="s">
        <v>54</v>
      </c>
      <c r="Q603" t="s">
        <v>122</v>
      </c>
      <c r="R603" t="s">
        <v>45</v>
      </c>
      <c r="S603" t="s">
        <v>1711</v>
      </c>
    </row>
    <row r="604" ht="55" customHeight="1" spans="1:19">
      <c r="A604" s="1" t="str">
        <f>_xlfn.DISPIMG("ID_D9774BD05BB042AEB69718E924C4ABCE",1)</f>
        <v>=DISPIMG("ID_D9774BD05BB042AEB69718E924C4ABCE",1)</v>
      </c>
      <c r="B604" t="s">
        <v>116</v>
      </c>
      <c r="C604" t="s">
        <v>1463</v>
      </c>
      <c r="D604" t="s">
        <v>466</v>
      </c>
      <c r="E604" t="s">
        <v>357</v>
      </c>
      <c r="F604" t="s">
        <v>40</v>
      </c>
      <c r="G604" t="s">
        <v>1554</v>
      </c>
      <c r="H604" t="s">
        <v>357</v>
      </c>
      <c r="I604" t="s">
        <v>42</v>
      </c>
      <c r="J604" t="s">
        <v>26</v>
      </c>
      <c r="K604" t="s">
        <v>27</v>
      </c>
      <c r="L604" t="s">
        <v>28</v>
      </c>
      <c r="M604" t="s">
        <v>29</v>
      </c>
      <c r="N604" t="s">
        <v>30</v>
      </c>
      <c r="O604" t="s">
        <v>31</v>
      </c>
      <c r="P604" t="s">
        <v>414</v>
      </c>
      <c r="Q604" t="s">
        <v>359</v>
      </c>
      <c r="R604" t="s">
        <v>45</v>
      </c>
      <c r="S604" t="s">
        <v>1712</v>
      </c>
    </row>
    <row r="605" ht="55" customHeight="1" spans="1:19">
      <c r="A605" s="1" t="str">
        <f>_xlfn.DISPIMG("ID_D846C5C341B6408789B8D0CD2BCAA2EB",1)</f>
        <v>=DISPIMG("ID_D846C5C341B6408789B8D0CD2BCAA2EB",1)</v>
      </c>
      <c r="B605" t="s">
        <v>1713</v>
      </c>
      <c r="C605" t="s">
        <v>560</v>
      </c>
      <c r="D605" t="s">
        <v>375</v>
      </c>
      <c r="E605" t="s">
        <v>100</v>
      </c>
      <c r="F605" t="s">
        <v>91</v>
      </c>
      <c r="G605" t="s">
        <v>724</v>
      </c>
      <c r="H605" t="s">
        <v>100</v>
      </c>
      <c r="I605" t="s">
        <v>137</v>
      </c>
      <c r="J605" t="s">
        <v>26</v>
      </c>
      <c r="K605" t="s">
        <v>27</v>
      </c>
      <c r="L605" t="s">
        <v>74</v>
      </c>
      <c r="M605" t="s">
        <v>93</v>
      </c>
      <c r="N605" t="s">
        <v>30</v>
      </c>
      <c r="O605" t="s">
        <v>31</v>
      </c>
      <c r="P605" t="s">
        <v>54</v>
      </c>
      <c r="Q605" t="s">
        <v>76</v>
      </c>
      <c r="R605" t="s">
        <v>420</v>
      </c>
      <c r="S605" t="s">
        <v>1714</v>
      </c>
    </row>
    <row r="606" ht="55" customHeight="1" spans="1:19">
      <c r="A606" s="1" t="str">
        <f>_xlfn.DISPIMG("ID_78FE3D81BB0B445B83389613A68CC590",1)</f>
        <v>=DISPIMG("ID_78FE3D81BB0B445B83389613A68CC590",1)</v>
      </c>
      <c r="B606" t="s">
        <v>106</v>
      </c>
      <c r="C606" t="s">
        <v>1400</v>
      </c>
      <c r="D606" t="s">
        <v>327</v>
      </c>
      <c r="E606" t="s">
        <v>484</v>
      </c>
      <c r="F606" t="s">
        <v>40</v>
      </c>
      <c r="G606" t="s">
        <v>73</v>
      </c>
      <c r="H606" t="s">
        <v>392</v>
      </c>
      <c r="I606" t="s">
        <v>42</v>
      </c>
      <c r="J606" t="s">
        <v>26</v>
      </c>
      <c r="K606" t="s">
        <v>27</v>
      </c>
      <c r="L606" t="s">
        <v>53</v>
      </c>
      <c r="M606" t="s">
        <v>29</v>
      </c>
      <c r="N606" t="s">
        <v>30</v>
      </c>
      <c r="O606" t="s">
        <v>31</v>
      </c>
      <c r="P606" t="s">
        <v>351</v>
      </c>
      <c r="Q606" t="s">
        <v>514</v>
      </c>
      <c r="R606" t="s">
        <v>114</v>
      </c>
      <c r="S606" t="s">
        <v>1715</v>
      </c>
    </row>
    <row r="607" ht="55" customHeight="1" spans="1:19">
      <c r="A607" s="1" t="str">
        <f>_xlfn.DISPIMG("ID_AABFFE23D7624A12AA18BE4E1BDB4200",1)</f>
        <v>=DISPIMG("ID_AABFFE23D7624A12AA18BE4E1BDB4200",1)</v>
      </c>
      <c r="B607" t="s">
        <v>47</v>
      </c>
      <c r="C607" t="s">
        <v>289</v>
      </c>
      <c r="D607" t="s">
        <v>695</v>
      </c>
      <c r="E607" t="s">
        <v>311</v>
      </c>
      <c r="F607" t="s">
        <v>51</v>
      </c>
      <c r="G607" t="s">
        <v>41</v>
      </c>
      <c r="H607" t="s">
        <v>39</v>
      </c>
      <c r="I607" t="s">
        <v>25</v>
      </c>
      <c r="J607" t="s">
        <v>26</v>
      </c>
      <c r="K607" t="s">
        <v>27</v>
      </c>
      <c r="L607" t="s">
        <v>28</v>
      </c>
      <c r="M607" t="s">
        <v>29</v>
      </c>
      <c r="N607" t="s">
        <v>30</v>
      </c>
      <c r="O607" t="s">
        <v>31</v>
      </c>
      <c r="P607" t="s">
        <v>1716</v>
      </c>
      <c r="Q607" t="s">
        <v>76</v>
      </c>
      <c r="R607" t="s">
        <v>56</v>
      </c>
      <c r="S607" t="s">
        <v>1717</v>
      </c>
    </row>
    <row r="608" ht="55" customHeight="1" spans="1:19">
      <c r="A608" s="1" t="str">
        <f>_xlfn.DISPIMG("ID_D289698D9CDD4095AC38D76F6B7877A6",1)</f>
        <v>=DISPIMG("ID_D289698D9CDD4095AC38D76F6B7877A6",1)</v>
      </c>
      <c r="B608" t="s">
        <v>465</v>
      </c>
      <c r="C608" t="s">
        <v>1718</v>
      </c>
      <c r="D608" t="s">
        <v>799</v>
      </c>
      <c r="E608" t="s">
        <v>305</v>
      </c>
      <c r="F608" t="s">
        <v>40</v>
      </c>
      <c r="G608" t="s">
        <v>1719</v>
      </c>
      <c r="H608" t="s">
        <v>50</v>
      </c>
      <c r="I608" t="s">
        <v>42</v>
      </c>
      <c r="J608" t="s">
        <v>26</v>
      </c>
      <c r="K608" t="s">
        <v>27</v>
      </c>
      <c r="L608" t="s">
        <v>28</v>
      </c>
      <c r="M608" t="s">
        <v>29</v>
      </c>
      <c r="N608" t="s">
        <v>30</v>
      </c>
      <c r="O608" t="s">
        <v>31</v>
      </c>
      <c r="P608" t="s">
        <v>65</v>
      </c>
      <c r="Q608" t="s">
        <v>255</v>
      </c>
      <c r="R608" t="s">
        <v>45</v>
      </c>
      <c r="S608" t="s">
        <v>1720</v>
      </c>
    </row>
    <row r="609" ht="55" customHeight="1" spans="1:19">
      <c r="A609" s="1" t="str">
        <f>_xlfn.DISPIMG("ID_E1236E2F9CA14CFF8F88D0752AA0E575",1)</f>
        <v>=DISPIMG("ID_E1236E2F9CA14CFF8F88D0752AA0E575",1)</v>
      </c>
      <c r="B609" t="s">
        <v>320</v>
      </c>
      <c r="C609" t="s">
        <v>459</v>
      </c>
      <c r="D609" t="s">
        <v>511</v>
      </c>
      <c r="E609" t="s">
        <v>204</v>
      </c>
      <c r="F609" t="s">
        <v>173</v>
      </c>
      <c r="G609" t="s">
        <v>317</v>
      </c>
      <c r="H609" t="s">
        <v>72</v>
      </c>
      <c r="I609" t="s">
        <v>175</v>
      </c>
      <c r="J609" t="s">
        <v>26</v>
      </c>
      <c r="K609" t="s">
        <v>27</v>
      </c>
      <c r="L609" t="s">
        <v>28</v>
      </c>
      <c r="M609" t="s">
        <v>93</v>
      </c>
      <c r="N609" t="s">
        <v>30</v>
      </c>
      <c r="O609" t="s">
        <v>31</v>
      </c>
      <c r="P609" t="s">
        <v>491</v>
      </c>
      <c r="Q609" t="s">
        <v>55</v>
      </c>
      <c r="R609" t="s">
        <v>324</v>
      </c>
      <c r="S609" t="s">
        <v>1721</v>
      </c>
    </row>
    <row r="610" ht="55" customHeight="1" spans="1:19">
      <c r="A610" s="1" t="str">
        <f>_xlfn.DISPIMG("ID_C478D2B32E6B40A5BABC90A5D59F26FB",1)</f>
        <v>=DISPIMG("ID_C478D2B32E6B40A5BABC90A5D59F26FB",1)</v>
      </c>
      <c r="B610" t="s">
        <v>366</v>
      </c>
      <c r="C610" t="s">
        <v>1722</v>
      </c>
      <c r="D610" t="s">
        <v>466</v>
      </c>
      <c r="E610" t="s">
        <v>357</v>
      </c>
      <c r="F610" t="s">
        <v>245</v>
      </c>
      <c r="G610" t="s">
        <v>1723</v>
      </c>
      <c r="H610" t="s">
        <v>357</v>
      </c>
      <c r="I610" t="s">
        <v>165</v>
      </c>
      <c r="J610" t="s">
        <v>26</v>
      </c>
      <c r="K610" t="s">
        <v>27</v>
      </c>
      <c r="L610" t="s">
        <v>231</v>
      </c>
      <c r="M610" t="s">
        <v>93</v>
      </c>
      <c r="N610" t="s">
        <v>30</v>
      </c>
      <c r="O610" t="s">
        <v>31</v>
      </c>
      <c r="P610" t="s">
        <v>154</v>
      </c>
      <c r="Q610" t="s">
        <v>297</v>
      </c>
      <c r="R610" t="s">
        <v>370</v>
      </c>
      <c r="S610" t="s">
        <v>1724</v>
      </c>
    </row>
    <row r="611" ht="55" customHeight="1" spans="1:19">
      <c r="A611" s="1" t="str">
        <f>_xlfn.DISPIMG("ID_E3C6B973F6C64E7BB89D5FBCF82A074D",1)</f>
        <v>=DISPIMG("ID_E3C6B973F6C64E7BB89D5FBCF82A074D",1)</v>
      </c>
      <c r="B611" t="s">
        <v>1290</v>
      </c>
      <c r="C611" t="s">
        <v>37</v>
      </c>
      <c r="D611" t="s">
        <v>304</v>
      </c>
      <c r="E611" t="s">
        <v>305</v>
      </c>
      <c r="F611" t="s">
        <v>40</v>
      </c>
      <c r="G611" t="s">
        <v>1725</v>
      </c>
      <c r="H611" t="s">
        <v>50</v>
      </c>
      <c r="I611" t="s">
        <v>42</v>
      </c>
      <c r="J611" t="s">
        <v>26</v>
      </c>
      <c r="K611" t="s">
        <v>27</v>
      </c>
      <c r="L611" t="s">
        <v>28</v>
      </c>
      <c r="M611" t="s">
        <v>29</v>
      </c>
      <c r="N611" t="s">
        <v>472</v>
      </c>
      <c r="O611" t="s">
        <v>31</v>
      </c>
      <c r="P611" t="s">
        <v>965</v>
      </c>
      <c r="Q611" t="s">
        <v>103</v>
      </c>
      <c r="R611" t="s">
        <v>114</v>
      </c>
      <c r="S611" t="s">
        <v>1726</v>
      </c>
    </row>
    <row r="612" ht="55" customHeight="1" spans="1:19">
      <c r="A612" s="1" t="str">
        <f>_xlfn.DISPIMG("ID_15E32CAC596448EBB6053098D67D805F",1)</f>
        <v>=DISPIMG("ID_15E32CAC596448EBB6053098D67D805F",1)</v>
      </c>
      <c r="B612" t="s">
        <v>320</v>
      </c>
      <c r="C612" t="s">
        <v>1727</v>
      </c>
      <c r="D612" t="s">
        <v>49</v>
      </c>
      <c r="E612" t="s">
        <v>50</v>
      </c>
      <c r="F612" t="s">
        <v>173</v>
      </c>
      <c r="G612" t="s">
        <v>1728</v>
      </c>
      <c r="H612" t="s">
        <v>50</v>
      </c>
      <c r="I612" t="s">
        <v>175</v>
      </c>
      <c r="J612" t="s">
        <v>26</v>
      </c>
      <c r="K612" t="s">
        <v>27</v>
      </c>
      <c r="L612" t="s">
        <v>28</v>
      </c>
      <c r="M612" t="s">
        <v>93</v>
      </c>
      <c r="N612" t="s">
        <v>30</v>
      </c>
      <c r="O612" t="s">
        <v>31</v>
      </c>
      <c r="P612" t="s">
        <v>65</v>
      </c>
      <c r="Q612" t="s">
        <v>85</v>
      </c>
      <c r="R612" t="s">
        <v>324</v>
      </c>
      <c r="S612" t="s">
        <v>1729</v>
      </c>
    </row>
    <row r="613" ht="55" customHeight="1" spans="1:19">
      <c r="A613" s="1" t="str">
        <f>_xlfn.DISPIMG("ID_A7D8ECFA22554DB698037819D93B7174",1)</f>
        <v>=DISPIMG("ID_A7D8ECFA22554DB698037819D93B7174",1)</v>
      </c>
      <c r="B613" t="s">
        <v>1730</v>
      </c>
      <c r="C613" t="s">
        <v>1051</v>
      </c>
      <c r="D613" t="s">
        <v>524</v>
      </c>
      <c r="E613" t="s">
        <v>63</v>
      </c>
      <c r="F613" t="s">
        <v>290</v>
      </c>
      <c r="G613" t="s">
        <v>41</v>
      </c>
      <c r="H613" t="s">
        <v>63</v>
      </c>
      <c r="I613" t="s">
        <v>42</v>
      </c>
      <c r="J613" t="s">
        <v>26</v>
      </c>
      <c r="K613" t="s">
        <v>27</v>
      </c>
      <c r="L613" t="s">
        <v>28</v>
      </c>
      <c r="M613" t="s">
        <v>93</v>
      </c>
      <c r="N613" t="s">
        <v>30</v>
      </c>
      <c r="O613" t="s">
        <v>31</v>
      </c>
      <c r="P613" t="s">
        <v>112</v>
      </c>
      <c r="Q613" t="s">
        <v>612</v>
      </c>
      <c r="R613" t="s">
        <v>397</v>
      </c>
      <c r="S613" t="s">
        <v>1731</v>
      </c>
    </row>
    <row r="614" ht="55" customHeight="1" spans="1:19">
      <c r="A614" s="1" t="str">
        <f>_xlfn.DISPIMG("ID_3B961706CA9845E6B17542A9C1AC21D3",1)</f>
        <v>=DISPIMG("ID_3B961706CA9845E6B17542A9C1AC21D3",1)</v>
      </c>
      <c r="B614" t="s">
        <v>366</v>
      </c>
      <c r="C614" t="s">
        <v>580</v>
      </c>
      <c r="D614" t="s">
        <v>556</v>
      </c>
      <c r="E614" t="s">
        <v>72</v>
      </c>
      <c r="F614" t="s">
        <v>245</v>
      </c>
      <c r="G614" t="s">
        <v>1732</v>
      </c>
      <c r="H614" t="s">
        <v>72</v>
      </c>
      <c r="I614" t="s">
        <v>165</v>
      </c>
      <c r="J614" t="s">
        <v>26</v>
      </c>
      <c r="K614" t="s">
        <v>27</v>
      </c>
      <c r="L614" t="s">
        <v>231</v>
      </c>
      <c r="M614" t="s">
        <v>93</v>
      </c>
      <c r="N614" t="s">
        <v>30</v>
      </c>
      <c r="O614" t="s">
        <v>31</v>
      </c>
      <c r="P614" t="s">
        <v>154</v>
      </c>
      <c r="Q614" t="s">
        <v>843</v>
      </c>
      <c r="R614" t="s">
        <v>370</v>
      </c>
      <c r="S614" t="s">
        <v>1733</v>
      </c>
    </row>
    <row r="615" ht="55" customHeight="1" spans="1:19">
      <c r="A615" s="1" t="str">
        <f>_xlfn.DISPIMG("ID_D89B61E031A748A48D180B6F3AD8E2F4",1)</f>
        <v>=DISPIMG("ID_D89B61E031A748A48D180B6F3AD8E2F4",1)</v>
      </c>
      <c r="B615" t="s">
        <v>170</v>
      </c>
      <c r="C615" t="s">
        <v>321</v>
      </c>
      <c r="D615" t="s">
        <v>785</v>
      </c>
      <c r="E615" t="s">
        <v>135</v>
      </c>
      <c r="F615" t="s">
        <v>173</v>
      </c>
      <c r="G615" t="s">
        <v>617</v>
      </c>
      <c r="H615" t="s">
        <v>135</v>
      </c>
      <c r="I615" t="s">
        <v>175</v>
      </c>
      <c r="J615" t="s">
        <v>26</v>
      </c>
      <c r="K615" t="s">
        <v>27</v>
      </c>
      <c r="L615" t="s">
        <v>28</v>
      </c>
      <c r="M615" t="s">
        <v>93</v>
      </c>
      <c r="N615" t="s">
        <v>30</v>
      </c>
      <c r="O615" t="s">
        <v>31</v>
      </c>
      <c r="P615" t="s">
        <v>154</v>
      </c>
      <c r="Q615" t="s">
        <v>292</v>
      </c>
      <c r="R615" t="s">
        <v>176</v>
      </c>
      <c r="S615" t="s">
        <v>1734</v>
      </c>
    </row>
    <row r="616" ht="55" customHeight="1" spans="1:19">
      <c r="A616" s="1" t="str">
        <f>_xlfn.DISPIMG("ID_23C56BC03E5B47D5B10727534BB31F51",1)</f>
        <v>=DISPIMG("ID_23C56BC03E5B47D5B10727534BB31F51",1)</v>
      </c>
      <c r="B616" t="s">
        <v>1583</v>
      </c>
      <c r="C616" t="s">
        <v>278</v>
      </c>
      <c r="D616" t="s">
        <v>99</v>
      </c>
      <c r="E616" t="s">
        <v>100</v>
      </c>
      <c r="F616" t="s">
        <v>173</v>
      </c>
      <c r="G616" t="s">
        <v>127</v>
      </c>
      <c r="H616" t="s">
        <v>1244</v>
      </c>
      <c r="I616" t="s">
        <v>137</v>
      </c>
      <c r="J616" t="s">
        <v>26</v>
      </c>
      <c r="K616" t="s">
        <v>27</v>
      </c>
      <c r="L616" t="s">
        <v>329</v>
      </c>
      <c r="M616" t="s">
        <v>93</v>
      </c>
      <c r="N616" t="s">
        <v>64</v>
      </c>
      <c r="O616" t="s">
        <v>31</v>
      </c>
      <c r="P616" t="s">
        <v>463</v>
      </c>
      <c r="Q616" t="s">
        <v>539</v>
      </c>
      <c r="R616" t="s">
        <v>147</v>
      </c>
      <c r="S616" t="s">
        <v>1735</v>
      </c>
    </row>
    <row r="617" ht="55" customHeight="1" spans="1:19">
      <c r="A617" s="1" t="str">
        <f>_xlfn.DISPIMG("ID_3AD4F9EFC6C046F6AF7EB75CBA518E4C",1)</f>
        <v>=DISPIMG("ID_3AD4F9EFC6C046F6AF7EB75CBA518E4C",1)</v>
      </c>
      <c r="B617" t="s">
        <v>1583</v>
      </c>
      <c r="C617" t="s">
        <v>1736</v>
      </c>
      <c r="D617" t="s">
        <v>356</v>
      </c>
      <c r="E617" t="s">
        <v>50</v>
      </c>
      <c r="F617" t="s">
        <v>173</v>
      </c>
      <c r="G617" t="s">
        <v>127</v>
      </c>
      <c r="H617" t="s">
        <v>50</v>
      </c>
      <c r="I617" t="s">
        <v>137</v>
      </c>
      <c r="J617" t="s">
        <v>26</v>
      </c>
      <c r="K617" t="s">
        <v>27</v>
      </c>
      <c r="L617" t="s">
        <v>28</v>
      </c>
      <c r="M617" t="s">
        <v>93</v>
      </c>
      <c r="N617" t="s">
        <v>30</v>
      </c>
      <c r="O617" t="s">
        <v>31</v>
      </c>
      <c r="P617" t="s">
        <v>221</v>
      </c>
      <c r="Q617" t="s">
        <v>113</v>
      </c>
      <c r="R617" t="s">
        <v>1586</v>
      </c>
      <c r="S617" t="s">
        <v>1737</v>
      </c>
    </row>
    <row r="618" ht="55" customHeight="1" spans="1:19">
      <c r="A618" s="1" t="str">
        <f>_xlfn.DISPIMG("ID_132D933FEED74199877C42B433EC0B4A",1)</f>
        <v>=DISPIMG("ID_132D933FEED74199877C42B433EC0B4A",1)</v>
      </c>
      <c r="B618" t="s">
        <v>265</v>
      </c>
      <c r="C618" t="s">
        <v>430</v>
      </c>
      <c r="D618" t="s">
        <v>1170</v>
      </c>
      <c r="E618" t="s">
        <v>573</v>
      </c>
      <c r="F618" t="s">
        <v>51</v>
      </c>
      <c r="G618" t="s">
        <v>254</v>
      </c>
      <c r="H618" t="s">
        <v>211</v>
      </c>
      <c r="I618" t="s">
        <v>25</v>
      </c>
      <c r="J618" t="s">
        <v>26</v>
      </c>
      <c r="K618" t="s">
        <v>27</v>
      </c>
      <c r="L618" t="s">
        <v>28</v>
      </c>
      <c r="M618" t="s">
        <v>29</v>
      </c>
      <c r="N618" t="s">
        <v>30</v>
      </c>
      <c r="O618" t="s">
        <v>31</v>
      </c>
      <c r="P618" t="s">
        <v>221</v>
      </c>
      <c r="Q618" t="s">
        <v>966</v>
      </c>
      <c r="R618" t="s">
        <v>270</v>
      </c>
      <c r="S618" t="s">
        <v>1738</v>
      </c>
    </row>
    <row r="619" ht="55" customHeight="1" spans="1:19">
      <c r="A619" s="1" t="str">
        <f>_xlfn.DISPIMG("ID_E9C222C4EFCF407FBEE457480CF35025",1)</f>
        <v>=DISPIMG("ID_E9C222C4EFCF407FBEE457480CF35025",1)</v>
      </c>
      <c r="B619" t="s">
        <v>465</v>
      </c>
      <c r="C619" t="s">
        <v>1739</v>
      </c>
      <c r="D619" t="s">
        <v>38</v>
      </c>
      <c r="E619" t="s">
        <v>39</v>
      </c>
      <c r="F619" t="s">
        <v>40</v>
      </c>
      <c r="G619" t="s">
        <v>306</v>
      </c>
      <c r="H619" t="s">
        <v>39</v>
      </c>
      <c r="I619" t="s">
        <v>42</v>
      </c>
      <c r="J619" t="s">
        <v>26</v>
      </c>
      <c r="K619" t="s">
        <v>27</v>
      </c>
      <c r="L619" t="s">
        <v>28</v>
      </c>
      <c r="M619" t="s">
        <v>29</v>
      </c>
      <c r="N619" t="s">
        <v>30</v>
      </c>
      <c r="O619" t="s">
        <v>31</v>
      </c>
      <c r="P619" t="s">
        <v>65</v>
      </c>
      <c r="Q619" t="s">
        <v>275</v>
      </c>
      <c r="R619" t="s">
        <v>45</v>
      </c>
      <c r="S619" t="s">
        <v>1740</v>
      </c>
    </row>
    <row r="620" ht="55" customHeight="1" spans="1:19">
      <c r="A620" s="1" t="str">
        <f>_xlfn.DISPIMG("ID_BAC6CCAF31C04DC7885B2F2B6759C3DB",1)</f>
        <v>=DISPIMG("ID_BAC6CCAF31C04DC7885B2F2B6759C3DB",1)</v>
      </c>
      <c r="B620" t="s">
        <v>178</v>
      </c>
      <c r="C620" t="s">
        <v>1275</v>
      </c>
      <c r="D620" t="s">
        <v>315</v>
      </c>
      <c r="E620" t="s">
        <v>641</v>
      </c>
      <c r="F620" t="s">
        <v>51</v>
      </c>
      <c r="G620" t="s">
        <v>431</v>
      </c>
      <c r="H620" t="s">
        <v>641</v>
      </c>
      <c r="I620" t="s">
        <v>42</v>
      </c>
      <c r="J620" t="s">
        <v>26</v>
      </c>
      <c r="K620" t="s">
        <v>27</v>
      </c>
      <c r="L620" t="s">
        <v>28</v>
      </c>
      <c r="M620" t="s">
        <v>29</v>
      </c>
      <c r="N620" t="s">
        <v>30</v>
      </c>
      <c r="O620" t="s">
        <v>31</v>
      </c>
      <c r="P620" t="s">
        <v>65</v>
      </c>
      <c r="Q620" t="s">
        <v>76</v>
      </c>
      <c r="R620" t="s">
        <v>184</v>
      </c>
      <c r="S620" t="s">
        <v>1741</v>
      </c>
    </row>
    <row r="621" ht="55" customHeight="1" spans="1:19">
      <c r="A621" s="1" t="str">
        <f>_xlfn.DISPIMG("ID_32682C82FA0A44629D93D5BFE9B2E2FA",1)</f>
        <v>=DISPIMG("ID_32682C82FA0A44629D93D5BFE9B2E2FA",1)</v>
      </c>
      <c r="B621" t="s">
        <v>366</v>
      </c>
      <c r="C621" t="s">
        <v>738</v>
      </c>
      <c r="D621" t="s">
        <v>375</v>
      </c>
      <c r="E621" t="s">
        <v>100</v>
      </c>
      <c r="F621" t="s">
        <v>245</v>
      </c>
      <c r="G621" t="s">
        <v>747</v>
      </c>
      <c r="H621" t="s">
        <v>100</v>
      </c>
      <c r="I621" t="s">
        <v>165</v>
      </c>
      <c r="J621" t="s">
        <v>26</v>
      </c>
      <c r="K621" t="s">
        <v>27</v>
      </c>
      <c r="L621" t="s">
        <v>323</v>
      </c>
      <c r="M621" t="s">
        <v>93</v>
      </c>
      <c r="N621" t="s">
        <v>30</v>
      </c>
      <c r="O621" t="s">
        <v>31</v>
      </c>
      <c r="P621" t="s">
        <v>473</v>
      </c>
      <c r="Q621" t="s">
        <v>297</v>
      </c>
      <c r="R621" t="s">
        <v>370</v>
      </c>
      <c r="S621" t="s">
        <v>1742</v>
      </c>
    </row>
    <row r="622" ht="55" customHeight="1" spans="1:19">
      <c r="A622" s="1" t="str">
        <f>_xlfn.DISPIMG("ID_2B38B5D005F54F6EA74E04FF32729D09",1)</f>
        <v>=DISPIMG("ID_2B38B5D005F54F6EA74E04FF32729D09",1)</v>
      </c>
      <c r="B622" t="s">
        <v>956</v>
      </c>
      <c r="C622" t="s">
        <v>453</v>
      </c>
      <c r="D622" t="s">
        <v>1017</v>
      </c>
      <c r="E622" t="s">
        <v>50</v>
      </c>
      <c r="F622" t="s">
        <v>23</v>
      </c>
      <c r="G622" t="s">
        <v>24</v>
      </c>
      <c r="H622" t="s">
        <v>50</v>
      </c>
      <c r="I622" t="s">
        <v>25</v>
      </c>
      <c r="J622" t="s">
        <v>26</v>
      </c>
      <c r="K622" t="s">
        <v>27</v>
      </c>
      <c r="L622" t="s">
        <v>323</v>
      </c>
      <c r="M622" t="s">
        <v>29</v>
      </c>
      <c r="N622" t="s">
        <v>30</v>
      </c>
      <c r="O622" t="s">
        <v>31</v>
      </c>
      <c r="P622" t="s">
        <v>301</v>
      </c>
      <c r="Q622" t="s">
        <v>55</v>
      </c>
      <c r="R622" t="s">
        <v>959</v>
      </c>
      <c r="S622" t="s">
        <v>1743</v>
      </c>
    </row>
    <row r="623" ht="55" customHeight="1" spans="1:19">
      <c r="A623" s="1" t="str">
        <f>_xlfn.DISPIMG("ID_DC0669F8067944489CCC51CD6C42138F",1)</f>
        <v>=DISPIMG("ID_DC0669F8067944489CCC51CD6C42138F",1)</v>
      </c>
      <c r="B623" t="s">
        <v>366</v>
      </c>
      <c r="C623" t="s">
        <v>362</v>
      </c>
      <c r="D623" t="s">
        <v>368</v>
      </c>
      <c r="E623" t="s">
        <v>135</v>
      </c>
      <c r="F623" t="s">
        <v>245</v>
      </c>
      <c r="G623" t="s">
        <v>561</v>
      </c>
      <c r="H623" t="s">
        <v>135</v>
      </c>
      <c r="I623" t="s">
        <v>165</v>
      </c>
      <c r="J623" t="s">
        <v>26</v>
      </c>
      <c r="K623" t="s">
        <v>27</v>
      </c>
      <c r="L623" t="s">
        <v>557</v>
      </c>
      <c r="M623" t="s">
        <v>93</v>
      </c>
      <c r="N623" t="s">
        <v>30</v>
      </c>
      <c r="O623" t="s">
        <v>31</v>
      </c>
      <c r="P623" t="s">
        <v>65</v>
      </c>
      <c r="Q623" t="s">
        <v>297</v>
      </c>
      <c r="R623" t="s">
        <v>370</v>
      </c>
      <c r="S623" t="s">
        <v>1744</v>
      </c>
    </row>
    <row r="624" ht="55" customHeight="1" spans="1:19">
      <c r="A624" s="1" t="str">
        <f>_xlfn.DISPIMG("ID_A299E91A9D95428CA3FADF24E2E4E294",1)</f>
        <v>=DISPIMG("ID_A299E91A9D95428CA3FADF24E2E4E294",1)</v>
      </c>
      <c r="B624" t="s">
        <v>629</v>
      </c>
      <c r="C624" t="s">
        <v>648</v>
      </c>
      <c r="D624" t="s">
        <v>310</v>
      </c>
      <c r="E624" t="s">
        <v>311</v>
      </c>
      <c r="F624" t="s">
        <v>91</v>
      </c>
      <c r="G624" t="s">
        <v>254</v>
      </c>
      <c r="H624" t="s">
        <v>39</v>
      </c>
      <c r="I624" t="s">
        <v>175</v>
      </c>
      <c r="J624" t="s">
        <v>26</v>
      </c>
      <c r="K624" t="s">
        <v>27</v>
      </c>
      <c r="L624" t="s">
        <v>28</v>
      </c>
      <c r="M624" t="s">
        <v>93</v>
      </c>
      <c r="N624" t="s">
        <v>30</v>
      </c>
      <c r="O624" t="s">
        <v>31</v>
      </c>
      <c r="P624" t="s">
        <v>65</v>
      </c>
      <c r="Q624" t="s">
        <v>76</v>
      </c>
      <c r="R624" t="s">
        <v>1745</v>
      </c>
      <c r="S624" t="s">
        <v>1746</v>
      </c>
    </row>
    <row r="625" ht="55" customHeight="1" spans="1:19">
      <c r="A625" s="1" t="str">
        <f>_xlfn.DISPIMG("ID_BBB367C4088E495A85D8E47D7D1DAB29",1)</f>
        <v>=DISPIMG("ID_BBB367C4088E495A85D8E47D7D1DAB29",1)</v>
      </c>
      <c r="B625" t="s">
        <v>406</v>
      </c>
      <c r="C625" t="s">
        <v>1747</v>
      </c>
      <c r="D625" t="s">
        <v>572</v>
      </c>
      <c r="E625" t="s">
        <v>573</v>
      </c>
      <c r="F625" t="s">
        <v>40</v>
      </c>
      <c r="G625" t="s">
        <v>1241</v>
      </c>
      <c r="H625" t="s">
        <v>211</v>
      </c>
      <c r="I625" t="s">
        <v>42</v>
      </c>
      <c r="J625" t="s">
        <v>26</v>
      </c>
      <c r="K625" t="s">
        <v>27</v>
      </c>
      <c r="L625" t="s">
        <v>53</v>
      </c>
      <c r="M625" t="s">
        <v>29</v>
      </c>
      <c r="N625" t="s">
        <v>30</v>
      </c>
      <c r="O625" t="s">
        <v>31</v>
      </c>
      <c r="P625" t="s">
        <v>1064</v>
      </c>
      <c r="Q625" t="s">
        <v>539</v>
      </c>
      <c r="R625" t="s">
        <v>409</v>
      </c>
      <c r="S625" t="s">
        <v>1748</v>
      </c>
    </row>
    <row r="626" ht="55" customHeight="1" spans="1:19">
      <c r="A626" s="1" t="str">
        <f>_xlfn.DISPIMG("ID_26C3D5FEA1654B4994A2FA6A088F2A4E",1)</f>
        <v>=DISPIMG("ID_26C3D5FEA1654B4994A2FA6A088F2A4E",1)</v>
      </c>
      <c r="B626" t="s">
        <v>257</v>
      </c>
      <c r="C626" t="s">
        <v>1749</v>
      </c>
      <c r="D626" t="s">
        <v>60</v>
      </c>
      <c r="E626" t="s">
        <v>61</v>
      </c>
      <c r="F626" t="s">
        <v>51</v>
      </c>
      <c r="G626" t="s">
        <v>73</v>
      </c>
      <c r="H626" t="s">
        <v>63</v>
      </c>
      <c r="I626" t="s">
        <v>25</v>
      </c>
      <c r="J626" t="s">
        <v>26</v>
      </c>
      <c r="K626" t="s">
        <v>27</v>
      </c>
      <c r="L626" t="s">
        <v>74</v>
      </c>
      <c r="M626" t="s">
        <v>29</v>
      </c>
      <c r="N626" t="s">
        <v>30</v>
      </c>
      <c r="O626" t="s">
        <v>31</v>
      </c>
      <c r="P626" t="s">
        <v>473</v>
      </c>
      <c r="Q626" t="s">
        <v>1750</v>
      </c>
      <c r="R626" t="s">
        <v>263</v>
      </c>
      <c r="S626" t="s">
        <v>1751</v>
      </c>
    </row>
    <row r="627" ht="55" customHeight="1" spans="1:19">
      <c r="A627" s="1" t="str">
        <f>_xlfn.DISPIMG("ID_99E96D8E369C4D4BB6D1EFC18C9C73E3",1)</f>
        <v>=DISPIMG("ID_99E96D8E369C4D4BB6D1EFC18C9C73E3",1)</v>
      </c>
      <c r="B627" t="s">
        <v>811</v>
      </c>
      <c r="C627" t="s">
        <v>1752</v>
      </c>
      <c r="D627" t="s">
        <v>1753</v>
      </c>
      <c r="E627" t="s">
        <v>144</v>
      </c>
      <c r="F627" t="s">
        <v>512</v>
      </c>
      <c r="G627" t="s">
        <v>402</v>
      </c>
      <c r="H627" t="s">
        <v>144</v>
      </c>
      <c r="I627" t="s">
        <v>25</v>
      </c>
      <c r="J627" t="s">
        <v>26</v>
      </c>
      <c r="K627" t="s">
        <v>27</v>
      </c>
      <c r="L627" t="s">
        <v>74</v>
      </c>
      <c r="M627" t="s">
        <v>513</v>
      </c>
      <c r="N627" t="s">
        <v>64</v>
      </c>
      <c r="O627" t="s">
        <v>31</v>
      </c>
      <c r="P627" t="s">
        <v>1754</v>
      </c>
      <c r="Q627" t="s">
        <v>33</v>
      </c>
      <c r="R627" t="s">
        <v>906</v>
      </c>
      <c r="S627" t="s">
        <v>1755</v>
      </c>
    </row>
    <row r="628" ht="55" customHeight="1" spans="1:19">
      <c r="A628" s="1" t="str">
        <f>_xlfn.DISPIMG("ID_1B645CEA4B9E4CA29A1FE7C06A141070",1)</f>
        <v>=DISPIMG("ID_1B645CEA4B9E4CA29A1FE7C06A141070",1)</v>
      </c>
      <c r="B628" t="s">
        <v>1298</v>
      </c>
      <c r="C628" t="s">
        <v>1756</v>
      </c>
      <c r="D628" t="s">
        <v>556</v>
      </c>
      <c r="E628" t="s">
        <v>72</v>
      </c>
      <c r="F628" t="s">
        <v>40</v>
      </c>
      <c r="G628" t="s">
        <v>1186</v>
      </c>
      <c r="H628" t="s">
        <v>72</v>
      </c>
      <c r="I628" t="s">
        <v>42</v>
      </c>
      <c r="J628" t="s">
        <v>26</v>
      </c>
      <c r="K628" t="s">
        <v>27</v>
      </c>
      <c r="L628" t="s">
        <v>74</v>
      </c>
      <c r="M628" t="s">
        <v>29</v>
      </c>
      <c r="N628" t="s">
        <v>30</v>
      </c>
      <c r="O628" t="s">
        <v>31</v>
      </c>
      <c r="P628" t="s">
        <v>301</v>
      </c>
      <c r="Q628" t="s">
        <v>113</v>
      </c>
      <c r="R628" t="s">
        <v>1757</v>
      </c>
      <c r="S628" t="s">
        <v>1758</v>
      </c>
    </row>
    <row r="629" ht="55" customHeight="1" spans="1:19">
      <c r="A629" s="1" t="str">
        <f>_xlfn.DISPIMG("ID_24AB89CB9C784BE9AF0DF3BC2A2AD0DB",1)</f>
        <v>=DISPIMG("ID_24AB89CB9C784BE9AF0DF3BC2A2AD0DB",1)</v>
      </c>
      <c r="B629" t="s">
        <v>214</v>
      </c>
      <c r="C629" t="s">
        <v>643</v>
      </c>
      <c r="D629" t="s">
        <v>1478</v>
      </c>
      <c r="E629" t="s">
        <v>111</v>
      </c>
      <c r="F629" t="s">
        <v>91</v>
      </c>
      <c r="G629" t="s">
        <v>345</v>
      </c>
      <c r="H629" t="s">
        <v>111</v>
      </c>
      <c r="I629" t="s">
        <v>137</v>
      </c>
      <c r="J629" t="s">
        <v>26</v>
      </c>
      <c r="K629" t="s">
        <v>27</v>
      </c>
      <c r="L629" t="s">
        <v>28</v>
      </c>
      <c r="M629" t="s">
        <v>93</v>
      </c>
      <c r="N629" t="s">
        <v>30</v>
      </c>
      <c r="O629" t="s">
        <v>31</v>
      </c>
      <c r="P629" t="s">
        <v>75</v>
      </c>
      <c r="Q629" t="s">
        <v>525</v>
      </c>
      <c r="R629" t="s">
        <v>191</v>
      </c>
      <c r="S629" t="s">
        <v>1759</v>
      </c>
    </row>
    <row r="630" ht="55" customHeight="1" spans="1:19">
      <c r="A630" s="1" t="str">
        <f>_xlfn.DISPIMG("ID_EF50C9DD19C042C2904CC4BB44621A57",1)</f>
        <v>=DISPIMG("ID_EF50C9DD19C042C2904CC4BB44621A57",1)</v>
      </c>
      <c r="B630" t="s">
        <v>1760</v>
      </c>
      <c r="C630" t="s">
        <v>333</v>
      </c>
      <c r="D630" t="s">
        <v>244</v>
      </c>
      <c r="E630" t="s">
        <v>164</v>
      </c>
      <c r="F630" t="s">
        <v>91</v>
      </c>
      <c r="G630" t="s">
        <v>627</v>
      </c>
      <c r="H630" t="s">
        <v>164</v>
      </c>
      <c r="I630" t="s">
        <v>42</v>
      </c>
      <c r="J630" t="s">
        <v>26</v>
      </c>
      <c r="K630" t="s">
        <v>27</v>
      </c>
      <c r="L630" t="s">
        <v>28</v>
      </c>
      <c r="M630" t="s">
        <v>93</v>
      </c>
      <c r="N630" t="s">
        <v>30</v>
      </c>
      <c r="O630" t="s">
        <v>31</v>
      </c>
      <c r="P630" t="s">
        <v>473</v>
      </c>
      <c r="Q630" t="s">
        <v>248</v>
      </c>
      <c r="R630" t="s">
        <v>1761</v>
      </c>
      <c r="S630" t="s">
        <v>1762</v>
      </c>
    </row>
    <row r="631" ht="55" customHeight="1" spans="1:19">
      <c r="A631" s="1" t="str">
        <f>_xlfn.DISPIMG("ID_766553606A0C4A1BBAD5B4D9FE809D05",1)</f>
        <v>=DISPIMG("ID_766553606A0C4A1BBAD5B4D9FE809D05",1)</v>
      </c>
      <c r="B631" t="s">
        <v>1090</v>
      </c>
      <c r="C631" t="s">
        <v>1763</v>
      </c>
      <c r="D631" t="s">
        <v>425</v>
      </c>
      <c r="E631" t="s">
        <v>100</v>
      </c>
      <c r="F631" t="s">
        <v>162</v>
      </c>
      <c r="G631" t="s">
        <v>894</v>
      </c>
      <c r="H631" t="s">
        <v>1244</v>
      </c>
      <c r="I631" t="s">
        <v>189</v>
      </c>
      <c r="J631" t="s">
        <v>26</v>
      </c>
      <c r="K631" t="s">
        <v>27</v>
      </c>
      <c r="L631" t="s">
        <v>624</v>
      </c>
      <c r="M631" t="s">
        <v>166</v>
      </c>
      <c r="N631" t="s">
        <v>64</v>
      </c>
      <c r="O631" t="s">
        <v>31</v>
      </c>
      <c r="P631" t="s">
        <v>414</v>
      </c>
      <c r="Q631" t="s">
        <v>843</v>
      </c>
      <c r="R631" t="s">
        <v>191</v>
      </c>
      <c r="S631" t="s">
        <v>1764</v>
      </c>
    </row>
    <row r="632" ht="55" customHeight="1" spans="1:19">
      <c r="A632" s="1" t="str">
        <f>_xlfn.DISPIMG("ID_12645745AA294AE68E25856D62D4F8D0",1)</f>
        <v>=DISPIMG("ID_12645745AA294AE68E25856D62D4F8D0",1)</v>
      </c>
      <c r="B632" t="s">
        <v>257</v>
      </c>
      <c r="C632" t="s">
        <v>819</v>
      </c>
      <c r="D632" t="s">
        <v>322</v>
      </c>
      <c r="E632" t="s">
        <v>211</v>
      </c>
      <c r="F632" t="s">
        <v>51</v>
      </c>
      <c r="G632" t="s">
        <v>280</v>
      </c>
      <c r="H632" t="s">
        <v>211</v>
      </c>
      <c r="I632" t="s">
        <v>25</v>
      </c>
      <c r="J632" t="s">
        <v>26</v>
      </c>
      <c r="K632" t="s">
        <v>27</v>
      </c>
      <c r="L632" t="s">
        <v>53</v>
      </c>
      <c r="M632" t="s">
        <v>29</v>
      </c>
      <c r="N632" t="s">
        <v>30</v>
      </c>
      <c r="O632" t="s">
        <v>31</v>
      </c>
      <c r="P632" t="s">
        <v>146</v>
      </c>
      <c r="Q632" t="s">
        <v>167</v>
      </c>
      <c r="R632" t="s">
        <v>263</v>
      </c>
      <c r="S632" t="s">
        <v>1765</v>
      </c>
    </row>
    <row r="633" ht="55" customHeight="1" spans="1:19">
      <c r="A633" s="1" t="str">
        <f>_xlfn.DISPIMG("ID_177FC218626B48A0BFB63956C59E23EC",1)</f>
        <v>=DISPIMG("ID_177FC218626B48A0BFB63956C59E23EC",1)</v>
      </c>
      <c r="B633" t="s">
        <v>257</v>
      </c>
      <c r="C633" t="s">
        <v>819</v>
      </c>
      <c r="D633" t="s">
        <v>322</v>
      </c>
      <c r="E633" t="s">
        <v>1095</v>
      </c>
      <c r="F633" t="s">
        <v>51</v>
      </c>
      <c r="G633" t="s">
        <v>426</v>
      </c>
      <c r="H633" t="s">
        <v>1095</v>
      </c>
      <c r="I633" t="s">
        <v>25</v>
      </c>
      <c r="J633" t="s">
        <v>26</v>
      </c>
      <c r="K633" t="s">
        <v>27</v>
      </c>
      <c r="L633" t="s">
        <v>53</v>
      </c>
      <c r="M633" t="s">
        <v>29</v>
      </c>
      <c r="N633" t="s">
        <v>30</v>
      </c>
      <c r="O633" t="s">
        <v>31</v>
      </c>
      <c r="P633" t="s">
        <v>1766</v>
      </c>
      <c r="Q633" t="s">
        <v>76</v>
      </c>
      <c r="R633" t="s">
        <v>263</v>
      </c>
      <c r="S633" t="s">
        <v>1767</v>
      </c>
    </row>
    <row r="634" ht="55" customHeight="1" spans="1:19">
      <c r="A634" s="1" t="str">
        <f>_xlfn.DISPIMG("ID_E040CC947C0F4E44B52E574B803D97B9",1)</f>
        <v>=DISPIMG("ID_E040CC947C0F4E44B52E574B803D97B9",1)</v>
      </c>
      <c r="B634" t="s">
        <v>282</v>
      </c>
      <c r="C634" t="s">
        <v>1147</v>
      </c>
      <c r="D634" t="s">
        <v>435</v>
      </c>
      <c r="E634" t="s">
        <v>518</v>
      </c>
      <c r="F634" t="s">
        <v>40</v>
      </c>
      <c r="G634" t="s">
        <v>600</v>
      </c>
      <c r="H634" t="s">
        <v>518</v>
      </c>
      <c r="I634" t="s">
        <v>42</v>
      </c>
      <c r="J634" t="s">
        <v>26</v>
      </c>
      <c r="K634" t="s">
        <v>27</v>
      </c>
      <c r="L634" t="s">
        <v>74</v>
      </c>
      <c r="M634" t="s">
        <v>29</v>
      </c>
      <c r="N634" t="s">
        <v>30</v>
      </c>
      <c r="O634" t="s">
        <v>31</v>
      </c>
      <c r="P634" t="s">
        <v>414</v>
      </c>
      <c r="Q634" t="s">
        <v>66</v>
      </c>
      <c r="R634" t="s">
        <v>45</v>
      </c>
      <c r="S634" t="s">
        <v>1768</v>
      </c>
    </row>
    <row r="635" ht="55" customHeight="1" spans="1:19">
      <c r="A635" s="1" t="str">
        <f>_xlfn.DISPIMG("ID_B04CE5E10C7B42A187BB156FD7E3807D",1)</f>
        <v>=DISPIMG("ID_B04CE5E10C7B42A187BB156FD7E3807D",1)</v>
      </c>
      <c r="B635" t="s">
        <v>257</v>
      </c>
      <c r="C635" t="s">
        <v>1390</v>
      </c>
      <c r="D635" t="s">
        <v>644</v>
      </c>
      <c r="E635" t="s">
        <v>328</v>
      </c>
      <c r="F635" t="s">
        <v>51</v>
      </c>
      <c r="G635" t="s">
        <v>1343</v>
      </c>
      <c r="H635" t="s">
        <v>119</v>
      </c>
      <c r="I635" t="s">
        <v>25</v>
      </c>
      <c r="J635" t="s">
        <v>26</v>
      </c>
      <c r="K635" t="s">
        <v>27</v>
      </c>
      <c r="L635" t="s">
        <v>74</v>
      </c>
      <c r="M635" t="s">
        <v>29</v>
      </c>
      <c r="N635" t="s">
        <v>30</v>
      </c>
      <c r="O635" t="s">
        <v>31</v>
      </c>
      <c r="P635" t="s">
        <v>75</v>
      </c>
      <c r="Q635" t="s">
        <v>66</v>
      </c>
      <c r="R635" t="s">
        <v>263</v>
      </c>
      <c r="S635" t="s">
        <v>1769</v>
      </c>
    </row>
    <row r="636" ht="55" customHeight="1" spans="1:19">
      <c r="A636" s="1" t="str">
        <f>_xlfn.DISPIMG("ID_C0FB428ED0D44554937E639EE48B5722",1)</f>
        <v>=DISPIMG("ID_C0FB428ED0D44554937E639EE48B5722",1)</v>
      </c>
      <c r="B636" t="s">
        <v>675</v>
      </c>
      <c r="C636" t="s">
        <v>321</v>
      </c>
      <c r="D636" t="s">
        <v>188</v>
      </c>
      <c r="E636" t="s">
        <v>144</v>
      </c>
      <c r="F636" t="s">
        <v>173</v>
      </c>
      <c r="G636" t="s">
        <v>127</v>
      </c>
      <c r="H636" t="s">
        <v>144</v>
      </c>
      <c r="I636" t="s">
        <v>137</v>
      </c>
      <c r="J636" t="s">
        <v>26</v>
      </c>
      <c r="K636" t="s">
        <v>27</v>
      </c>
      <c r="L636" t="s">
        <v>28</v>
      </c>
      <c r="M636" t="s">
        <v>93</v>
      </c>
      <c r="N636" t="s">
        <v>64</v>
      </c>
      <c r="O636" t="s">
        <v>31</v>
      </c>
      <c r="P636" t="s">
        <v>414</v>
      </c>
      <c r="Q636" t="s">
        <v>539</v>
      </c>
      <c r="R636" t="s">
        <v>618</v>
      </c>
      <c r="S636" t="s">
        <v>1770</v>
      </c>
    </row>
    <row r="637" ht="55" customHeight="1" spans="1:19">
      <c r="A637" s="1" t="str">
        <f>_xlfn.DISPIMG("ID_89A59B3CA584419885059947AEF43817",1)</f>
        <v>=DISPIMG("ID_89A59B3CA584419885059947AEF43817",1)</v>
      </c>
      <c r="B637" t="s">
        <v>1771</v>
      </c>
      <c r="C637" t="s">
        <v>453</v>
      </c>
      <c r="D637" t="s">
        <v>1366</v>
      </c>
      <c r="E637" t="s">
        <v>238</v>
      </c>
      <c r="F637" t="s">
        <v>162</v>
      </c>
      <c r="G637" t="s">
        <v>280</v>
      </c>
      <c r="H637" t="s">
        <v>238</v>
      </c>
      <c r="I637" t="s">
        <v>175</v>
      </c>
      <c r="J637" t="s">
        <v>230</v>
      </c>
      <c r="K637" t="s">
        <v>27</v>
      </c>
      <c r="L637" t="s">
        <v>28</v>
      </c>
      <c r="M637" t="s">
        <v>166</v>
      </c>
      <c r="N637" t="s">
        <v>30</v>
      </c>
      <c r="O637" t="s">
        <v>31</v>
      </c>
      <c r="P637" t="s">
        <v>1119</v>
      </c>
      <c r="Q637" t="s">
        <v>167</v>
      </c>
      <c r="R637" t="s">
        <v>671</v>
      </c>
      <c r="S637" t="s">
        <v>1772</v>
      </c>
    </row>
    <row r="638" ht="55" customHeight="1" spans="1:19">
      <c r="A638" s="1" t="str">
        <f>_xlfn.DISPIMG("ID_545B2B6DD37246899F7D8F6487F8F7D0",1)</f>
        <v>=DISPIMG("ID_545B2B6DD37246899F7D8F6487F8F7D0",1)</v>
      </c>
      <c r="B638" t="s">
        <v>1667</v>
      </c>
      <c r="C638" t="s">
        <v>1773</v>
      </c>
      <c r="D638" t="s">
        <v>750</v>
      </c>
      <c r="E638" t="s">
        <v>316</v>
      </c>
      <c r="F638" t="s">
        <v>91</v>
      </c>
      <c r="G638" t="s">
        <v>747</v>
      </c>
      <c r="H638" t="s">
        <v>144</v>
      </c>
      <c r="I638" t="s">
        <v>189</v>
      </c>
      <c r="J638" t="s">
        <v>26</v>
      </c>
      <c r="K638" t="s">
        <v>27</v>
      </c>
      <c r="L638" t="s">
        <v>231</v>
      </c>
      <c r="M638" t="s">
        <v>93</v>
      </c>
      <c r="N638" t="s">
        <v>30</v>
      </c>
      <c r="O638" t="s">
        <v>31</v>
      </c>
      <c r="P638" t="s">
        <v>75</v>
      </c>
      <c r="Q638" t="s">
        <v>1774</v>
      </c>
      <c r="R638" t="s">
        <v>130</v>
      </c>
      <c r="S638" t="s">
        <v>1775</v>
      </c>
    </row>
    <row r="639" ht="55" customHeight="1" spans="1:19">
      <c r="A639" s="1" t="str">
        <f>_xlfn.DISPIMG("ID_FC50C8FDC12346618EBEAA198FFC639B",1)</f>
        <v>=DISPIMG("ID_FC50C8FDC12346618EBEAA198FFC639B",1)</v>
      </c>
      <c r="B639" t="s">
        <v>236</v>
      </c>
      <c r="C639" t="s">
        <v>59</v>
      </c>
      <c r="D639" t="s">
        <v>379</v>
      </c>
      <c r="E639" t="s">
        <v>119</v>
      </c>
      <c r="F639" t="s">
        <v>51</v>
      </c>
      <c r="G639" t="s">
        <v>1109</v>
      </c>
      <c r="H639" t="s">
        <v>119</v>
      </c>
      <c r="I639" t="s">
        <v>42</v>
      </c>
      <c r="J639" t="s">
        <v>26</v>
      </c>
      <c r="K639" t="s">
        <v>27</v>
      </c>
      <c r="L639" t="s">
        <v>74</v>
      </c>
      <c r="M639" t="s">
        <v>29</v>
      </c>
      <c r="N639" t="s">
        <v>30</v>
      </c>
      <c r="O639" t="s">
        <v>31</v>
      </c>
      <c r="P639" t="s">
        <v>75</v>
      </c>
      <c r="Q639" t="s">
        <v>167</v>
      </c>
      <c r="R639" t="s">
        <v>104</v>
      </c>
      <c r="S639" t="s">
        <v>1776</v>
      </c>
    </row>
    <row r="640" ht="55" customHeight="1" spans="1:19">
      <c r="A640" s="1" t="str">
        <f>_xlfn.DISPIMG("ID_91A97718B0FE400B824F2BE2603E7706",1)</f>
        <v>=DISPIMG("ID_91A97718B0FE400B824F2BE2603E7706",1)</v>
      </c>
      <c r="B640" t="s">
        <v>214</v>
      </c>
      <c r="C640" t="s">
        <v>1777</v>
      </c>
      <c r="D640" t="s">
        <v>1478</v>
      </c>
      <c r="E640" t="s">
        <v>111</v>
      </c>
      <c r="F640" t="s">
        <v>91</v>
      </c>
      <c r="G640" t="s">
        <v>216</v>
      </c>
      <c r="H640" t="s">
        <v>111</v>
      </c>
      <c r="I640" t="s">
        <v>137</v>
      </c>
      <c r="J640" t="s">
        <v>26</v>
      </c>
      <c r="K640" t="s">
        <v>27</v>
      </c>
      <c r="L640" t="s">
        <v>28</v>
      </c>
      <c r="M640" t="s">
        <v>93</v>
      </c>
      <c r="N640" t="s">
        <v>30</v>
      </c>
      <c r="O640" t="s">
        <v>31</v>
      </c>
      <c r="P640" t="s">
        <v>138</v>
      </c>
      <c r="Q640" t="s">
        <v>155</v>
      </c>
      <c r="R640" t="s">
        <v>191</v>
      </c>
      <c r="S640" t="s">
        <v>1778</v>
      </c>
    </row>
    <row r="641" ht="55" customHeight="1" spans="1:19">
      <c r="A641" s="1" t="str">
        <f>_xlfn.DISPIMG("ID_C2CE2AD1A46148E3AE7DDEB84FE92855",1)</f>
        <v>=DISPIMG("ID_C2CE2AD1A46148E3AE7DDEB84FE92855",1)</v>
      </c>
      <c r="B641" t="s">
        <v>754</v>
      </c>
      <c r="C641" t="s">
        <v>372</v>
      </c>
      <c r="D641" t="s">
        <v>1779</v>
      </c>
      <c r="E641" t="s">
        <v>111</v>
      </c>
      <c r="F641" t="s">
        <v>162</v>
      </c>
      <c r="G641" t="s">
        <v>174</v>
      </c>
      <c r="H641" t="s">
        <v>111</v>
      </c>
      <c r="I641" t="s">
        <v>175</v>
      </c>
      <c r="J641" t="s">
        <v>26</v>
      </c>
      <c r="K641" t="s">
        <v>27</v>
      </c>
      <c r="L641" t="s">
        <v>28</v>
      </c>
      <c r="M641" t="s">
        <v>166</v>
      </c>
      <c r="N641" t="s">
        <v>30</v>
      </c>
      <c r="O641" t="s">
        <v>31</v>
      </c>
      <c r="P641" t="s">
        <v>138</v>
      </c>
      <c r="Q641" t="s">
        <v>113</v>
      </c>
      <c r="R641" t="s">
        <v>234</v>
      </c>
      <c r="S641" t="s">
        <v>1780</v>
      </c>
    </row>
    <row r="642" ht="55" customHeight="1" spans="1:19">
      <c r="A642" s="1" t="str">
        <f>_xlfn.DISPIMG("ID_94AAC74BDF234DDA994C7F8153800AE9",1)</f>
        <v>=DISPIMG("ID_94AAC74BDF234DDA994C7F8153800AE9",1)</v>
      </c>
      <c r="B642" t="s">
        <v>563</v>
      </c>
      <c r="C642" t="s">
        <v>564</v>
      </c>
      <c r="D642" t="s">
        <v>536</v>
      </c>
      <c r="E642" t="s">
        <v>27</v>
      </c>
      <c r="F642" t="s">
        <v>40</v>
      </c>
      <c r="G642" t="s">
        <v>538</v>
      </c>
      <c r="H642" t="s">
        <v>27</v>
      </c>
      <c r="I642" t="s">
        <v>42</v>
      </c>
      <c r="J642" t="s">
        <v>26</v>
      </c>
      <c r="K642" t="s">
        <v>27</v>
      </c>
      <c r="L642" t="s">
        <v>28</v>
      </c>
      <c r="M642" t="s">
        <v>29</v>
      </c>
      <c r="N642" t="s">
        <v>30</v>
      </c>
      <c r="O642" t="s">
        <v>31</v>
      </c>
      <c r="P642" t="s">
        <v>301</v>
      </c>
      <c r="Q642" t="s">
        <v>359</v>
      </c>
      <c r="R642" t="s">
        <v>1781</v>
      </c>
      <c r="S642" t="s">
        <v>1782</v>
      </c>
    </row>
    <row r="643" ht="55" customHeight="1" spans="1:19">
      <c r="A643" s="1" t="str">
        <f>_xlfn.DISPIMG("ID_F4973AF7E93944E69CB2D07010E462B0",1)</f>
        <v>=DISPIMG("ID_F4973AF7E93944E69CB2D07010E462B0",1)</v>
      </c>
      <c r="B643" t="s">
        <v>242</v>
      </c>
      <c r="C643" t="s">
        <v>1337</v>
      </c>
      <c r="D643" t="s">
        <v>466</v>
      </c>
      <c r="E643" t="s">
        <v>357</v>
      </c>
      <c r="F643" t="s">
        <v>245</v>
      </c>
      <c r="G643" t="s">
        <v>1414</v>
      </c>
      <c r="H643" t="s">
        <v>357</v>
      </c>
      <c r="I643" t="s">
        <v>165</v>
      </c>
      <c r="J643" t="s">
        <v>26</v>
      </c>
      <c r="K643" t="s">
        <v>27</v>
      </c>
      <c r="L643" t="s">
        <v>28</v>
      </c>
      <c r="M643" t="s">
        <v>93</v>
      </c>
      <c r="N643" t="s">
        <v>30</v>
      </c>
      <c r="O643" t="s">
        <v>31</v>
      </c>
      <c r="P643" t="s">
        <v>138</v>
      </c>
      <c r="Q643" t="s">
        <v>183</v>
      </c>
      <c r="R643" t="s">
        <v>249</v>
      </c>
      <c r="S643" t="s">
        <v>1783</v>
      </c>
    </row>
    <row r="644" ht="55" customHeight="1" spans="1:19">
      <c r="A644" s="1" t="str">
        <f>_xlfn.DISPIMG("ID_3F3E16A4587E4E8199CF66FE647E6855",1)</f>
        <v>=DISPIMG("ID_3F3E16A4587E4E8199CF66FE647E6855",1)</v>
      </c>
      <c r="B644" t="s">
        <v>935</v>
      </c>
      <c r="C644" t="s">
        <v>1784</v>
      </c>
      <c r="D644" t="s">
        <v>581</v>
      </c>
      <c r="E644" t="s">
        <v>109</v>
      </c>
      <c r="F644" t="s">
        <v>245</v>
      </c>
      <c r="G644" t="s">
        <v>246</v>
      </c>
      <c r="H644" t="s">
        <v>111</v>
      </c>
      <c r="I644" t="s">
        <v>165</v>
      </c>
      <c r="J644" t="s">
        <v>26</v>
      </c>
      <c r="K644" t="s">
        <v>27</v>
      </c>
      <c r="L644" t="s">
        <v>231</v>
      </c>
      <c r="M644" t="s">
        <v>93</v>
      </c>
      <c r="N644" t="s">
        <v>30</v>
      </c>
      <c r="O644" t="s">
        <v>31</v>
      </c>
      <c r="P644" t="s">
        <v>463</v>
      </c>
      <c r="Q644" t="s">
        <v>468</v>
      </c>
      <c r="R644" t="s">
        <v>249</v>
      </c>
      <c r="S644" t="s">
        <v>1785</v>
      </c>
    </row>
    <row r="645" ht="55" customHeight="1" spans="1:19">
      <c r="A645" s="1" t="str">
        <f>_xlfn.DISPIMG("ID_C18DDA6E575443FFA6516112FEE459B8",1)</f>
        <v>=DISPIMG("ID_C18DDA6E575443FFA6516112FEE459B8",1)</v>
      </c>
      <c r="B645" t="s">
        <v>36</v>
      </c>
      <c r="C645" t="s">
        <v>1646</v>
      </c>
      <c r="D645" t="s">
        <v>38</v>
      </c>
      <c r="E645" t="s">
        <v>39</v>
      </c>
      <c r="F645" t="s">
        <v>40</v>
      </c>
      <c r="G645" t="s">
        <v>306</v>
      </c>
      <c r="H645" t="s">
        <v>39</v>
      </c>
      <c r="I645" t="s">
        <v>42</v>
      </c>
      <c r="J645" t="s">
        <v>26</v>
      </c>
      <c r="K645" t="s">
        <v>27</v>
      </c>
      <c r="L645" t="s">
        <v>74</v>
      </c>
      <c r="M645" t="s">
        <v>29</v>
      </c>
      <c r="N645" t="s">
        <v>30</v>
      </c>
      <c r="O645" t="s">
        <v>31</v>
      </c>
      <c r="P645" t="s">
        <v>965</v>
      </c>
      <c r="Q645" t="s">
        <v>76</v>
      </c>
      <c r="R645" t="s">
        <v>45</v>
      </c>
      <c r="S645" t="s">
        <v>1786</v>
      </c>
    </row>
    <row r="646" ht="55" customHeight="1" spans="1:19">
      <c r="A646" s="1" t="str">
        <f>_xlfn.DISPIMG("ID_F34CBF42C23243799533635ECD6A36DE",1)</f>
        <v>=DISPIMG("ID_F34CBF42C23243799533635ECD6A36DE",1)</v>
      </c>
      <c r="B646" t="s">
        <v>178</v>
      </c>
      <c r="C646" t="s">
        <v>1519</v>
      </c>
      <c r="D646" t="s">
        <v>90</v>
      </c>
      <c r="E646" t="s">
        <v>39</v>
      </c>
      <c r="F646" t="s">
        <v>51</v>
      </c>
      <c r="G646" t="s">
        <v>402</v>
      </c>
      <c r="H646" t="s">
        <v>39</v>
      </c>
      <c r="I646" t="s">
        <v>42</v>
      </c>
      <c r="J646" t="s">
        <v>26</v>
      </c>
      <c r="K646" t="s">
        <v>27</v>
      </c>
      <c r="L646" t="s">
        <v>28</v>
      </c>
      <c r="M646" t="s">
        <v>29</v>
      </c>
      <c r="N646" t="s">
        <v>661</v>
      </c>
      <c r="O646" t="s">
        <v>31</v>
      </c>
      <c r="P646" t="s">
        <v>75</v>
      </c>
      <c r="Q646" t="s">
        <v>539</v>
      </c>
      <c r="R646" t="s">
        <v>184</v>
      </c>
      <c r="S646" t="s">
        <v>1787</v>
      </c>
    </row>
    <row r="647" ht="55" customHeight="1" spans="1:19">
      <c r="A647" s="1" t="str">
        <f>_xlfn.DISPIMG("ID_35B073BD657B410D9C7E41516794D3E3",1)</f>
        <v>=DISPIMG("ID_35B073BD657B410D9C7E41516794D3E3",1)</v>
      </c>
      <c r="B647" t="s">
        <v>854</v>
      </c>
      <c r="C647" t="s">
        <v>1185</v>
      </c>
      <c r="D647" t="s">
        <v>1037</v>
      </c>
      <c r="E647" t="s">
        <v>161</v>
      </c>
      <c r="F647" t="s">
        <v>40</v>
      </c>
      <c r="G647" t="s">
        <v>306</v>
      </c>
      <c r="H647" t="s">
        <v>164</v>
      </c>
      <c r="I647" t="s">
        <v>25</v>
      </c>
      <c r="J647" t="s">
        <v>26</v>
      </c>
      <c r="K647" t="s">
        <v>27</v>
      </c>
      <c r="L647" t="s">
        <v>231</v>
      </c>
      <c r="M647" t="s">
        <v>29</v>
      </c>
      <c r="N647" t="s">
        <v>30</v>
      </c>
      <c r="O647" t="s">
        <v>31</v>
      </c>
      <c r="P647" t="s">
        <v>154</v>
      </c>
      <c r="Q647" t="s">
        <v>297</v>
      </c>
      <c r="R647" t="s">
        <v>945</v>
      </c>
      <c r="S647" t="s">
        <v>1788</v>
      </c>
    </row>
    <row r="648" ht="55" customHeight="1" spans="1:19">
      <c r="A648" s="1" t="str">
        <f>_xlfn.DISPIMG("ID_E8DE9C58A91A422592B62A385F094FA3",1)</f>
        <v>=DISPIMG("ID_E8DE9C58A91A422592B62A385F094FA3",1)</v>
      </c>
      <c r="B648" t="s">
        <v>141</v>
      </c>
      <c r="C648" t="s">
        <v>718</v>
      </c>
      <c r="D648" t="s">
        <v>973</v>
      </c>
      <c r="E648" t="s">
        <v>61</v>
      </c>
      <c r="F648" t="s">
        <v>40</v>
      </c>
      <c r="G648" t="s">
        <v>627</v>
      </c>
      <c r="H648" t="s">
        <v>63</v>
      </c>
      <c r="I648" t="s">
        <v>42</v>
      </c>
      <c r="J648" t="s">
        <v>26</v>
      </c>
      <c r="K648" t="s">
        <v>27</v>
      </c>
      <c r="L648" t="s">
        <v>28</v>
      </c>
      <c r="M648" t="s">
        <v>29</v>
      </c>
      <c r="N648" t="s">
        <v>30</v>
      </c>
      <c r="O648" t="s">
        <v>31</v>
      </c>
      <c r="P648" t="s">
        <v>301</v>
      </c>
      <c r="Q648" t="s">
        <v>802</v>
      </c>
      <c r="R648" t="s">
        <v>45</v>
      </c>
      <c r="S648" t="s">
        <v>1789</v>
      </c>
    </row>
    <row r="649" ht="55" customHeight="1" spans="1:19">
      <c r="A649" s="1" t="str">
        <f>_xlfn.DISPIMG("ID_223071078A0B4A8B88079F0E4E073A36",1)</f>
        <v>=DISPIMG("ID_223071078A0B4A8B88079F0E4E073A36",1)</v>
      </c>
      <c r="B649" t="s">
        <v>288</v>
      </c>
      <c r="C649" t="s">
        <v>1025</v>
      </c>
      <c r="D649" t="s">
        <v>412</v>
      </c>
      <c r="E649" t="s">
        <v>413</v>
      </c>
      <c r="F649" t="s">
        <v>290</v>
      </c>
      <c r="G649" t="s">
        <v>101</v>
      </c>
      <c r="H649" t="s">
        <v>100</v>
      </c>
      <c r="I649" t="s">
        <v>42</v>
      </c>
      <c r="J649" t="s">
        <v>26</v>
      </c>
      <c r="K649" t="s">
        <v>27</v>
      </c>
      <c r="L649" t="s">
        <v>28</v>
      </c>
      <c r="M649" t="s">
        <v>93</v>
      </c>
      <c r="N649" t="s">
        <v>30</v>
      </c>
      <c r="O649" t="s">
        <v>31</v>
      </c>
      <c r="P649" t="s">
        <v>301</v>
      </c>
      <c r="Q649" t="s">
        <v>129</v>
      </c>
      <c r="R649" t="s">
        <v>293</v>
      </c>
      <c r="S649" t="s">
        <v>1790</v>
      </c>
    </row>
    <row r="650" ht="55" customHeight="1" spans="1:19">
      <c r="A650" s="1" t="str">
        <f>_xlfn.DISPIMG("ID_0BE89C90EAD44DFB8F3BC9BC2B0B23A6",1)</f>
        <v>=DISPIMG("ID_0BE89C90EAD44DFB8F3BC9BC2B0B23A6",1)</v>
      </c>
      <c r="B650" t="s">
        <v>366</v>
      </c>
      <c r="C650" t="s">
        <v>1455</v>
      </c>
      <c r="D650" t="s">
        <v>435</v>
      </c>
      <c r="E650" t="s">
        <v>63</v>
      </c>
      <c r="F650" t="s">
        <v>245</v>
      </c>
      <c r="G650" t="s">
        <v>246</v>
      </c>
      <c r="H650" t="s">
        <v>63</v>
      </c>
      <c r="I650" t="s">
        <v>165</v>
      </c>
      <c r="J650" t="s">
        <v>26</v>
      </c>
      <c r="K650" t="s">
        <v>27</v>
      </c>
      <c r="L650" t="s">
        <v>28</v>
      </c>
      <c r="M650" t="s">
        <v>93</v>
      </c>
      <c r="N650" t="s">
        <v>30</v>
      </c>
      <c r="O650" t="s">
        <v>31</v>
      </c>
      <c r="P650" t="s">
        <v>75</v>
      </c>
      <c r="Q650" t="s">
        <v>539</v>
      </c>
      <c r="R650" t="s">
        <v>370</v>
      </c>
      <c r="S650" t="s">
        <v>1791</v>
      </c>
    </row>
    <row r="651" ht="55" customHeight="1" spans="1:19">
      <c r="A651" s="1" t="str">
        <f>_xlfn.DISPIMG("ID_B4A31C4D69284530ACD4B230D2BBB407",1)</f>
        <v>=DISPIMG("ID_B4A31C4D69284530ACD4B230D2BBB407",1)</v>
      </c>
      <c r="B651" t="s">
        <v>116</v>
      </c>
      <c r="C651" t="s">
        <v>391</v>
      </c>
      <c r="D651" t="s">
        <v>1478</v>
      </c>
      <c r="E651" t="s">
        <v>111</v>
      </c>
      <c r="F651" t="s">
        <v>40</v>
      </c>
      <c r="G651" t="s">
        <v>740</v>
      </c>
      <c r="H651" t="s">
        <v>111</v>
      </c>
      <c r="I651" t="s">
        <v>42</v>
      </c>
      <c r="J651" t="s">
        <v>26</v>
      </c>
      <c r="K651" t="s">
        <v>27</v>
      </c>
      <c r="L651" t="s">
        <v>74</v>
      </c>
      <c r="M651" t="s">
        <v>29</v>
      </c>
      <c r="N651" t="s">
        <v>30</v>
      </c>
      <c r="O651" t="s">
        <v>31</v>
      </c>
      <c r="P651" t="s">
        <v>112</v>
      </c>
      <c r="Q651" t="s">
        <v>113</v>
      </c>
      <c r="R651" t="s">
        <v>45</v>
      </c>
      <c r="S651" t="s">
        <v>1792</v>
      </c>
    </row>
    <row r="652" ht="55" customHeight="1" spans="1:19">
      <c r="A652" s="1" t="str">
        <f>_xlfn.DISPIMG("ID_15D933A0985C463C9C64014B57199D46",1)</f>
        <v>=DISPIMG("ID_15D933A0985C463C9C64014B57199D46",1)</v>
      </c>
      <c r="B652" t="s">
        <v>1561</v>
      </c>
      <c r="C652" t="s">
        <v>1793</v>
      </c>
      <c r="D652" t="s">
        <v>210</v>
      </c>
      <c r="E652" t="s">
        <v>211</v>
      </c>
      <c r="F652" t="s">
        <v>91</v>
      </c>
      <c r="G652" t="s">
        <v>436</v>
      </c>
      <c r="H652" t="s">
        <v>211</v>
      </c>
      <c r="I652" t="s">
        <v>25</v>
      </c>
      <c r="J652" t="s">
        <v>26</v>
      </c>
      <c r="K652" t="s">
        <v>27</v>
      </c>
      <c r="L652" t="s">
        <v>231</v>
      </c>
      <c r="M652" t="s">
        <v>93</v>
      </c>
      <c r="N652" t="s">
        <v>30</v>
      </c>
      <c r="O652" t="s">
        <v>31</v>
      </c>
      <c r="P652" t="s">
        <v>146</v>
      </c>
      <c r="Q652" t="s">
        <v>167</v>
      </c>
      <c r="R652" t="s">
        <v>1563</v>
      </c>
      <c r="S652" t="s">
        <v>1794</v>
      </c>
    </row>
    <row r="653" ht="55" customHeight="1" spans="1:19">
      <c r="A653" s="1" t="str">
        <f>_xlfn.DISPIMG("ID_52ECB589C06146D1922DB8F1935FB676",1)</f>
        <v>=DISPIMG("ID_52ECB589C06146D1922DB8F1935FB676",1)</v>
      </c>
      <c r="B653" t="s">
        <v>1795</v>
      </c>
      <c r="C653" t="s">
        <v>1796</v>
      </c>
      <c r="D653" t="s">
        <v>1797</v>
      </c>
      <c r="E653" t="s">
        <v>61</v>
      </c>
      <c r="F653" t="s">
        <v>40</v>
      </c>
      <c r="G653" t="s">
        <v>1798</v>
      </c>
      <c r="H653" t="s">
        <v>63</v>
      </c>
      <c r="I653" t="s">
        <v>42</v>
      </c>
      <c r="J653" t="s">
        <v>26</v>
      </c>
      <c r="K653" t="s">
        <v>27</v>
      </c>
      <c r="L653" t="s">
        <v>74</v>
      </c>
      <c r="M653" t="s">
        <v>29</v>
      </c>
      <c r="N653" t="s">
        <v>30</v>
      </c>
      <c r="O653" t="s">
        <v>31</v>
      </c>
      <c r="P653" t="s">
        <v>221</v>
      </c>
      <c r="Q653" t="s">
        <v>122</v>
      </c>
      <c r="R653" t="s">
        <v>1799</v>
      </c>
      <c r="S653" t="s">
        <v>1800</v>
      </c>
    </row>
    <row r="654" ht="55" customHeight="1" spans="1:19">
      <c r="A654" s="1" t="str">
        <f>_xlfn.DISPIMG("ID_62128A72B12F4BD894749BCBA28DD43C",1)</f>
        <v>=DISPIMG("ID_62128A72B12F4BD894749BCBA28DD43C",1)</v>
      </c>
      <c r="B654" t="s">
        <v>534</v>
      </c>
      <c r="C654" t="s">
        <v>551</v>
      </c>
      <c r="D654" t="s">
        <v>552</v>
      </c>
      <c r="E654" t="s">
        <v>507</v>
      </c>
      <c r="F654" t="s">
        <v>40</v>
      </c>
      <c r="G654" t="s">
        <v>1241</v>
      </c>
      <c r="H654" t="s">
        <v>135</v>
      </c>
      <c r="I654" t="s">
        <v>42</v>
      </c>
      <c r="J654" t="s">
        <v>26</v>
      </c>
      <c r="K654" t="s">
        <v>27</v>
      </c>
      <c r="L654" t="s">
        <v>28</v>
      </c>
      <c r="M654" t="s">
        <v>29</v>
      </c>
      <c r="N654" t="s">
        <v>30</v>
      </c>
      <c r="O654" t="s">
        <v>31</v>
      </c>
      <c r="P654" t="s">
        <v>65</v>
      </c>
      <c r="Q654" t="s">
        <v>1203</v>
      </c>
      <c r="R654" t="s">
        <v>1801</v>
      </c>
      <c r="S654" t="s">
        <v>1802</v>
      </c>
    </row>
    <row r="655" ht="55" customHeight="1" spans="1:19">
      <c r="A655" s="1" t="str">
        <f>_xlfn.DISPIMG("ID_D12A0DF76F424CBE8EDEDDB02D412258",1)</f>
        <v>=DISPIMG("ID_D12A0DF76F424CBE8EDEDDB02D412258",1)</v>
      </c>
      <c r="B655" t="s">
        <v>893</v>
      </c>
      <c r="C655" t="s">
        <v>422</v>
      </c>
      <c r="D655" t="s">
        <v>60</v>
      </c>
      <c r="E655" t="s">
        <v>238</v>
      </c>
      <c r="F655" t="s">
        <v>401</v>
      </c>
      <c r="G655" t="s">
        <v>1803</v>
      </c>
      <c r="H655" t="s">
        <v>238</v>
      </c>
      <c r="I655" t="s">
        <v>175</v>
      </c>
      <c r="J655" t="s">
        <v>26</v>
      </c>
      <c r="K655" t="s">
        <v>27</v>
      </c>
      <c r="L655" t="s">
        <v>28</v>
      </c>
      <c r="M655" t="s">
        <v>403</v>
      </c>
      <c r="N655" t="s">
        <v>30</v>
      </c>
      <c r="O655" t="s">
        <v>404</v>
      </c>
      <c r="P655" t="s">
        <v>112</v>
      </c>
      <c r="Q655" t="s">
        <v>113</v>
      </c>
      <c r="R655" t="s">
        <v>1804</v>
      </c>
      <c r="S655" t="s">
        <v>1805</v>
      </c>
    </row>
    <row r="656" ht="55" customHeight="1" spans="1:19">
      <c r="A656" s="1" t="str">
        <f>_xlfn.DISPIMG("ID_9992962293F443879CDE83D894CE313A",1)</f>
        <v>=DISPIMG("ID_9992962293F443879CDE83D894CE313A",1)</v>
      </c>
      <c r="B656" t="s">
        <v>214</v>
      </c>
      <c r="C656" t="s">
        <v>215</v>
      </c>
      <c r="D656" t="s">
        <v>310</v>
      </c>
      <c r="E656" t="s">
        <v>311</v>
      </c>
      <c r="F656" t="s">
        <v>91</v>
      </c>
      <c r="G656" t="s">
        <v>41</v>
      </c>
      <c r="H656" t="s">
        <v>39</v>
      </c>
      <c r="I656" t="s">
        <v>137</v>
      </c>
      <c r="J656" t="s">
        <v>26</v>
      </c>
      <c r="K656" t="s">
        <v>27</v>
      </c>
      <c r="L656" t="s">
        <v>28</v>
      </c>
      <c r="M656" t="s">
        <v>93</v>
      </c>
      <c r="N656" t="s">
        <v>30</v>
      </c>
      <c r="O656" t="s">
        <v>31</v>
      </c>
      <c r="P656" t="s">
        <v>182</v>
      </c>
      <c r="Q656" t="s">
        <v>76</v>
      </c>
      <c r="R656" t="s">
        <v>191</v>
      </c>
      <c r="S656" t="s">
        <v>1806</v>
      </c>
    </row>
    <row r="657" ht="55" customHeight="1" spans="1:19">
      <c r="A657" s="1" t="str">
        <f>_xlfn.DISPIMG("ID_DC8B14B805634FC692337CF57D2061CE",1)</f>
        <v>=DISPIMG("ID_DC8B14B805634FC692337CF57D2061CE",1)</v>
      </c>
      <c r="B657" t="s">
        <v>116</v>
      </c>
      <c r="C657" t="s">
        <v>1807</v>
      </c>
      <c r="D657" t="s">
        <v>973</v>
      </c>
      <c r="E657" t="s">
        <v>195</v>
      </c>
      <c r="F657" t="s">
        <v>40</v>
      </c>
      <c r="G657" t="s">
        <v>181</v>
      </c>
      <c r="H657" t="s">
        <v>195</v>
      </c>
      <c r="I657" t="s">
        <v>42</v>
      </c>
      <c r="J657" t="s">
        <v>26</v>
      </c>
      <c r="K657" t="s">
        <v>27</v>
      </c>
      <c r="L657" t="s">
        <v>28</v>
      </c>
      <c r="M657" t="s">
        <v>29</v>
      </c>
      <c r="N657" t="s">
        <v>30</v>
      </c>
      <c r="O657" t="s">
        <v>31</v>
      </c>
      <c r="P657" t="s">
        <v>491</v>
      </c>
      <c r="Q657" t="s">
        <v>76</v>
      </c>
      <c r="R657" t="s">
        <v>1808</v>
      </c>
      <c r="S657" t="s">
        <v>1809</v>
      </c>
    </row>
    <row r="658" ht="55" customHeight="1" spans="1:19">
      <c r="A658" s="1" t="str">
        <f>_xlfn.DISPIMG("ID_16EA3EE45C2F4B8DBB8C0AC9CEE0E079",1)</f>
        <v>=DISPIMG("ID_16EA3EE45C2F4B8DBB8C0AC9CEE0E079",1)</v>
      </c>
      <c r="B658" t="s">
        <v>88</v>
      </c>
      <c r="C658" t="s">
        <v>1159</v>
      </c>
      <c r="D658" t="s">
        <v>681</v>
      </c>
      <c r="E658" t="s">
        <v>82</v>
      </c>
      <c r="F658" t="s">
        <v>91</v>
      </c>
      <c r="G658" t="s">
        <v>495</v>
      </c>
      <c r="H658" t="s">
        <v>84</v>
      </c>
      <c r="I658" t="s">
        <v>25</v>
      </c>
      <c r="J658" t="s">
        <v>26</v>
      </c>
      <c r="K658" t="s">
        <v>27</v>
      </c>
      <c r="L658" t="s">
        <v>53</v>
      </c>
      <c r="M658" t="s">
        <v>93</v>
      </c>
      <c r="N658" t="s">
        <v>30</v>
      </c>
      <c r="O658" t="s">
        <v>31</v>
      </c>
      <c r="P658" t="s">
        <v>146</v>
      </c>
      <c r="Q658" t="s">
        <v>1810</v>
      </c>
      <c r="R658" t="s">
        <v>95</v>
      </c>
      <c r="S658" t="s">
        <v>1811</v>
      </c>
    </row>
    <row r="659" ht="55" customHeight="1" spans="1:19">
      <c r="A659" s="1" t="str">
        <f>_xlfn.DISPIMG("ID_D1ED7DFA78B140DF963FAFC1A59BAF14",1)</f>
        <v>=DISPIMG("ID_D1ED7DFA78B140DF963FAFC1A59BAF14",1)</v>
      </c>
      <c r="B659" t="s">
        <v>754</v>
      </c>
      <c r="C659" t="s">
        <v>663</v>
      </c>
      <c r="D659" t="s">
        <v>1366</v>
      </c>
      <c r="E659" t="s">
        <v>238</v>
      </c>
      <c r="F659" t="s">
        <v>162</v>
      </c>
      <c r="G659" t="s">
        <v>101</v>
      </c>
      <c r="H659" t="s">
        <v>238</v>
      </c>
      <c r="I659" t="s">
        <v>175</v>
      </c>
      <c r="J659" t="s">
        <v>26</v>
      </c>
      <c r="K659" t="s">
        <v>27</v>
      </c>
      <c r="L659" t="s">
        <v>28</v>
      </c>
      <c r="M659" t="s">
        <v>166</v>
      </c>
      <c r="N659" t="s">
        <v>64</v>
      </c>
      <c r="O659" t="s">
        <v>31</v>
      </c>
      <c r="P659" t="s">
        <v>1013</v>
      </c>
      <c r="Q659" t="s">
        <v>167</v>
      </c>
      <c r="R659" t="s">
        <v>234</v>
      </c>
      <c r="S659" t="s">
        <v>1812</v>
      </c>
    </row>
    <row r="660" ht="55" customHeight="1" spans="1:19">
      <c r="A660" s="1" t="str">
        <f>_xlfn.DISPIMG("ID_1ECB73DFFF4B4808940EE7954ADE3BE7",1)</f>
        <v>=DISPIMG("ID_1ECB73DFFF4B4808940EE7954ADE3BE7",1)</v>
      </c>
      <c r="B660" t="s">
        <v>1130</v>
      </c>
      <c r="C660" t="s">
        <v>760</v>
      </c>
      <c r="D660" t="s">
        <v>188</v>
      </c>
      <c r="E660" t="s">
        <v>144</v>
      </c>
      <c r="F660" t="s">
        <v>40</v>
      </c>
      <c r="G660" t="s">
        <v>1460</v>
      </c>
      <c r="H660" t="s">
        <v>144</v>
      </c>
      <c r="I660" t="s">
        <v>42</v>
      </c>
      <c r="J660" t="s">
        <v>26</v>
      </c>
      <c r="K660" t="s">
        <v>27</v>
      </c>
      <c r="L660" t="s">
        <v>53</v>
      </c>
      <c r="M660" t="s">
        <v>29</v>
      </c>
      <c r="N660" t="s">
        <v>30</v>
      </c>
      <c r="O660" t="s">
        <v>31</v>
      </c>
      <c r="P660" t="s">
        <v>763</v>
      </c>
      <c r="Q660" t="s">
        <v>849</v>
      </c>
      <c r="R660" t="s">
        <v>104</v>
      </c>
      <c r="S660" t="s">
        <v>1813</v>
      </c>
    </row>
    <row r="661" ht="55" customHeight="1" spans="1:19">
      <c r="A661" s="1" t="str">
        <f>_xlfn.DISPIMG("ID_79786ABD08B5452F8333033395A59B6C",1)</f>
        <v>=DISPIMG("ID_79786ABD08B5452F8333033395A59B6C",1)</v>
      </c>
      <c r="B661" t="s">
        <v>257</v>
      </c>
      <c r="C661" t="s">
        <v>333</v>
      </c>
      <c r="D661" t="s">
        <v>695</v>
      </c>
      <c r="E661" t="s">
        <v>311</v>
      </c>
      <c r="F661" t="s">
        <v>51</v>
      </c>
      <c r="G661" t="s">
        <v>127</v>
      </c>
      <c r="H661" t="s">
        <v>39</v>
      </c>
      <c r="I661" t="s">
        <v>25</v>
      </c>
      <c r="J661" t="s">
        <v>26</v>
      </c>
      <c r="K661" t="s">
        <v>27</v>
      </c>
      <c r="L661" t="s">
        <v>74</v>
      </c>
      <c r="M661" t="s">
        <v>29</v>
      </c>
      <c r="N661" t="s">
        <v>30</v>
      </c>
      <c r="O661" t="s">
        <v>31</v>
      </c>
      <c r="P661" t="s">
        <v>65</v>
      </c>
      <c r="Q661" t="s">
        <v>879</v>
      </c>
      <c r="R661" t="s">
        <v>263</v>
      </c>
      <c r="S661" t="s">
        <v>1814</v>
      </c>
    </row>
    <row r="662" ht="55" customHeight="1" spans="1:19">
      <c r="A662" s="1" t="str">
        <f>_xlfn.DISPIMG("ID_F8E1C42F88B64B35B31D120E26814F62",1)</f>
        <v>=DISPIMG("ID_F8E1C42F88B64B35B31D120E26814F62",1)</v>
      </c>
      <c r="B662" t="s">
        <v>563</v>
      </c>
      <c r="C662" t="s">
        <v>798</v>
      </c>
      <c r="D662" t="s">
        <v>708</v>
      </c>
      <c r="E662" t="s">
        <v>1815</v>
      </c>
      <c r="F662" t="s">
        <v>40</v>
      </c>
      <c r="G662" t="s">
        <v>538</v>
      </c>
      <c r="H662" t="s">
        <v>22</v>
      </c>
      <c r="I662" t="s">
        <v>42</v>
      </c>
      <c r="J662" t="s">
        <v>26</v>
      </c>
      <c r="K662" t="s">
        <v>27</v>
      </c>
      <c r="L662" t="s">
        <v>74</v>
      </c>
      <c r="M662" t="s">
        <v>29</v>
      </c>
      <c r="N662" t="s">
        <v>30</v>
      </c>
      <c r="O662" t="s">
        <v>31</v>
      </c>
      <c r="P662" t="s">
        <v>65</v>
      </c>
      <c r="Q662" t="s">
        <v>359</v>
      </c>
      <c r="R662" t="s">
        <v>1816</v>
      </c>
      <c r="S662" t="s">
        <v>1817</v>
      </c>
    </row>
    <row r="663" ht="55" customHeight="1" spans="1:19">
      <c r="A663" s="1" t="str">
        <f>_xlfn.DISPIMG("ID_F3E721331990489DBDE6E99B194FBB40",1)</f>
        <v>=DISPIMG("ID_F3E721331990489DBDE6E99B194FBB40",1)</v>
      </c>
      <c r="B663" t="s">
        <v>366</v>
      </c>
      <c r="C663" t="s">
        <v>258</v>
      </c>
      <c r="D663" t="s">
        <v>435</v>
      </c>
      <c r="E663" t="s">
        <v>63</v>
      </c>
      <c r="F663" t="s">
        <v>245</v>
      </c>
      <c r="G663" t="s">
        <v>747</v>
      </c>
      <c r="H663" t="s">
        <v>238</v>
      </c>
      <c r="I663" t="s">
        <v>165</v>
      </c>
      <c r="J663" t="s">
        <v>26</v>
      </c>
      <c r="K663" t="s">
        <v>27</v>
      </c>
      <c r="L663" t="s">
        <v>28</v>
      </c>
      <c r="M663" t="s">
        <v>93</v>
      </c>
      <c r="N663" t="s">
        <v>30</v>
      </c>
      <c r="O663" t="s">
        <v>31</v>
      </c>
      <c r="P663" t="s">
        <v>65</v>
      </c>
      <c r="Q663" t="s">
        <v>76</v>
      </c>
      <c r="R663" t="s">
        <v>370</v>
      </c>
      <c r="S663" t="s">
        <v>1818</v>
      </c>
    </row>
    <row r="664" ht="55" customHeight="1" spans="1:19">
      <c r="A664" s="1" t="str">
        <f>_xlfn.DISPIMG("ID_C64E9AC157F44CA790CD90E8FCEB543C",1)</f>
        <v>=DISPIMG("ID_C64E9AC157F44CA790CD90E8FCEB543C",1)</v>
      </c>
      <c r="B664" t="s">
        <v>735</v>
      </c>
      <c r="C664" t="s">
        <v>591</v>
      </c>
      <c r="D664" t="s">
        <v>118</v>
      </c>
      <c r="E664" t="s">
        <v>119</v>
      </c>
      <c r="F664" t="s">
        <v>91</v>
      </c>
      <c r="G664" t="s">
        <v>387</v>
      </c>
      <c r="H664" t="s">
        <v>119</v>
      </c>
      <c r="I664" t="s">
        <v>175</v>
      </c>
      <c r="J664" t="s">
        <v>26</v>
      </c>
      <c r="K664" t="s">
        <v>27</v>
      </c>
      <c r="L664" t="s">
        <v>28</v>
      </c>
      <c r="M664" t="s">
        <v>93</v>
      </c>
      <c r="N664" t="s">
        <v>30</v>
      </c>
      <c r="O664" t="s">
        <v>31</v>
      </c>
      <c r="P664" t="s">
        <v>75</v>
      </c>
      <c r="Q664" t="s">
        <v>468</v>
      </c>
      <c r="R664" t="s">
        <v>736</v>
      </c>
      <c r="S664" t="s">
        <v>1819</v>
      </c>
    </row>
    <row r="665" ht="55" customHeight="1" spans="1:19">
      <c r="A665" s="1" t="str">
        <f>_xlfn.DISPIMG("ID_FC1AD53275FA46ECB43CE414BEAB57CB",1)</f>
        <v>=DISPIMG("ID_FC1AD53275FA46ECB43CE414BEAB57CB",1)</v>
      </c>
      <c r="B665" t="s">
        <v>257</v>
      </c>
      <c r="C665" t="s">
        <v>1820</v>
      </c>
      <c r="D665" t="s">
        <v>400</v>
      </c>
      <c r="E665" t="s">
        <v>211</v>
      </c>
      <c r="F665" t="s">
        <v>51</v>
      </c>
      <c r="G665" t="s">
        <v>174</v>
      </c>
      <c r="H665" t="s">
        <v>211</v>
      </c>
      <c r="I665" t="s">
        <v>25</v>
      </c>
      <c r="J665" t="s">
        <v>26</v>
      </c>
      <c r="K665" t="s">
        <v>27</v>
      </c>
      <c r="L665" t="s">
        <v>28</v>
      </c>
      <c r="M665" t="s">
        <v>29</v>
      </c>
      <c r="N665" t="s">
        <v>30</v>
      </c>
      <c r="O665" t="s">
        <v>31</v>
      </c>
      <c r="P665" t="s">
        <v>543</v>
      </c>
      <c r="Q665" t="s">
        <v>255</v>
      </c>
      <c r="R665" t="s">
        <v>263</v>
      </c>
      <c r="S665" t="s">
        <v>1821</v>
      </c>
    </row>
    <row r="666" ht="55" customHeight="1" spans="1:19">
      <c r="A666" s="1" t="str">
        <f>_xlfn.DISPIMG("ID_41FADFF5E6FE4C7F8B37DD4925380BA8",1)</f>
        <v>=DISPIMG("ID_41FADFF5E6FE4C7F8B37DD4925380BA8",1)</v>
      </c>
      <c r="B666" t="s">
        <v>1822</v>
      </c>
      <c r="C666" t="s">
        <v>1823</v>
      </c>
      <c r="D666" t="s">
        <v>253</v>
      </c>
      <c r="E666" t="s">
        <v>1041</v>
      </c>
      <c r="F666" t="s">
        <v>40</v>
      </c>
      <c r="G666" t="s">
        <v>1442</v>
      </c>
      <c r="H666" t="s">
        <v>659</v>
      </c>
      <c r="I666" t="s">
        <v>42</v>
      </c>
      <c r="J666" t="s">
        <v>26</v>
      </c>
      <c r="K666" t="s">
        <v>27</v>
      </c>
      <c r="L666" t="s">
        <v>28</v>
      </c>
      <c r="M666" t="s">
        <v>29</v>
      </c>
      <c r="N666" t="s">
        <v>30</v>
      </c>
      <c r="O666" t="s">
        <v>31</v>
      </c>
      <c r="P666" t="s">
        <v>340</v>
      </c>
      <c r="Q666" t="s">
        <v>248</v>
      </c>
      <c r="R666" t="s">
        <v>1824</v>
      </c>
      <c r="S666" t="s">
        <v>1825</v>
      </c>
    </row>
    <row r="667" ht="55" customHeight="1" spans="1:19">
      <c r="A667" s="1" t="str">
        <f>_xlfn.DISPIMG("ID_DE095B6414FA48A3A0DCEDBCC3D5789A",1)</f>
        <v>=DISPIMG("ID_DE095B6414FA48A3A0DCEDBCC3D5789A",1)</v>
      </c>
      <c r="B667" t="s">
        <v>106</v>
      </c>
      <c r="C667" t="s">
        <v>1826</v>
      </c>
      <c r="D667" t="s">
        <v>681</v>
      </c>
      <c r="E667" t="s">
        <v>82</v>
      </c>
      <c r="F667" t="s">
        <v>40</v>
      </c>
      <c r="G667" t="s">
        <v>127</v>
      </c>
      <c r="H667" t="s">
        <v>84</v>
      </c>
      <c r="I667" t="s">
        <v>42</v>
      </c>
      <c r="J667" t="s">
        <v>26</v>
      </c>
      <c r="K667" t="s">
        <v>27</v>
      </c>
      <c r="L667" t="s">
        <v>53</v>
      </c>
      <c r="M667" t="s">
        <v>29</v>
      </c>
      <c r="N667" t="s">
        <v>30</v>
      </c>
      <c r="O667" t="s">
        <v>31</v>
      </c>
      <c r="P667" t="s">
        <v>75</v>
      </c>
      <c r="Q667" t="s">
        <v>190</v>
      </c>
      <c r="R667" t="s">
        <v>114</v>
      </c>
      <c r="S667" t="s">
        <v>1827</v>
      </c>
    </row>
    <row r="668" ht="55" customHeight="1" spans="1:19">
      <c r="A668" s="1" t="str">
        <f>_xlfn.DISPIMG("ID_752ACC55D871469BBE38F23E4E8DDDB2",1)</f>
        <v>=DISPIMG("ID_752ACC55D871469BBE38F23E4E8DDDB2",1)</v>
      </c>
      <c r="B668" t="s">
        <v>754</v>
      </c>
      <c r="C668" t="s">
        <v>1079</v>
      </c>
      <c r="D668" t="s">
        <v>220</v>
      </c>
      <c r="E668" t="s">
        <v>164</v>
      </c>
      <c r="F668" t="s">
        <v>162</v>
      </c>
      <c r="G668" t="s">
        <v>174</v>
      </c>
      <c r="H668" t="s">
        <v>164</v>
      </c>
      <c r="I668" t="s">
        <v>175</v>
      </c>
      <c r="J668" t="s">
        <v>26</v>
      </c>
      <c r="K668" t="s">
        <v>27</v>
      </c>
      <c r="L668" t="s">
        <v>28</v>
      </c>
      <c r="M668" t="s">
        <v>166</v>
      </c>
      <c r="N668" t="s">
        <v>64</v>
      </c>
      <c r="O668" t="s">
        <v>31</v>
      </c>
      <c r="P668" t="s">
        <v>1828</v>
      </c>
      <c r="Q668" t="s">
        <v>1829</v>
      </c>
      <c r="R668" t="s">
        <v>234</v>
      </c>
      <c r="S668" t="s">
        <v>1830</v>
      </c>
    </row>
    <row r="669" ht="55" customHeight="1" spans="1:19">
      <c r="A669" s="1" t="str">
        <f>_xlfn.DISPIMG("ID_FEE6D1C312164DCDA814F1D0E4F6244A",1)</f>
        <v>=DISPIMG("ID_FEE6D1C312164DCDA814F1D0E4F6244A",1)</v>
      </c>
      <c r="B669" t="s">
        <v>399</v>
      </c>
      <c r="C669" t="s">
        <v>1831</v>
      </c>
      <c r="D669" t="s">
        <v>60</v>
      </c>
      <c r="E669" t="s">
        <v>238</v>
      </c>
      <c r="F669" t="s">
        <v>401</v>
      </c>
      <c r="G669" t="s">
        <v>1676</v>
      </c>
      <c r="H669" t="s">
        <v>238</v>
      </c>
      <c r="I669" t="s">
        <v>175</v>
      </c>
      <c r="J669" t="s">
        <v>26</v>
      </c>
      <c r="K669" t="s">
        <v>27</v>
      </c>
      <c r="L669" t="s">
        <v>28</v>
      </c>
      <c r="M669" t="s">
        <v>403</v>
      </c>
      <c r="N669" t="s">
        <v>30</v>
      </c>
      <c r="O669" t="s">
        <v>404</v>
      </c>
      <c r="P669" t="s">
        <v>75</v>
      </c>
      <c r="Q669" t="s">
        <v>113</v>
      </c>
      <c r="R669" t="s">
        <v>324</v>
      </c>
      <c r="S669" t="s">
        <v>1832</v>
      </c>
    </row>
    <row r="670" ht="55" customHeight="1" spans="1:19">
      <c r="A670" s="1" t="str">
        <f>_xlfn.DISPIMG("ID_FBB6292230D24BEF8947535DECFE8DBB",1)</f>
        <v>=DISPIMG("ID_FBB6292230D24BEF8947535DECFE8DBB",1)</v>
      </c>
      <c r="B670" t="s">
        <v>282</v>
      </c>
      <c r="C670" t="s">
        <v>1833</v>
      </c>
      <c r="D670" t="s">
        <v>973</v>
      </c>
      <c r="E670" t="s">
        <v>238</v>
      </c>
      <c r="F670" t="s">
        <v>40</v>
      </c>
      <c r="G670" t="s">
        <v>306</v>
      </c>
      <c r="H670" t="s">
        <v>238</v>
      </c>
      <c r="I670" t="s">
        <v>42</v>
      </c>
      <c r="J670" t="s">
        <v>26</v>
      </c>
      <c r="K670" t="s">
        <v>27</v>
      </c>
      <c r="L670" t="s">
        <v>28</v>
      </c>
      <c r="M670" t="s">
        <v>29</v>
      </c>
      <c r="N670" t="s">
        <v>30</v>
      </c>
      <c r="O670" t="s">
        <v>31</v>
      </c>
      <c r="P670" t="s">
        <v>340</v>
      </c>
      <c r="Q670" t="s">
        <v>76</v>
      </c>
      <c r="R670" t="s">
        <v>1834</v>
      </c>
      <c r="S670" t="s">
        <v>1835</v>
      </c>
    </row>
    <row r="671" ht="55" customHeight="1" spans="1:19">
      <c r="A671" s="1" t="str">
        <f>_xlfn.DISPIMG("ID_5800ACE4793E4E4BB90A8B4BD7996EC6",1)</f>
        <v>=DISPIMG("ID_5800ACE4793E4E4BB90A8B4BD7996EC6",1)</v>
      </c>
      <c r="B671" t="s">
        <v>265</v>
      </c>
      <c r="C671" t="s">
        <v>133</v>
      </c>
      <c r="D671" t="s">
        <v>695</v>
      </c>
      <c r="E671" t="s">
        <v>392</v>
      </c>
      <c r="F671" t="s">
        <v>51</v>
      </c>
      <c r="G671" t="s">
        <v>431</v>
      </c>
      <c r="H671" t="s">
        <v>392</v>
      </c>
      <c r="I671" t="s">
        <v>25</v>
      </c>
      <c r="J671" t="s">
        <v>26</v>
      </c>
      <c r="K671" t="s">
        <v>27</v>
      </c>
      <c r="L671" t="s">
        <v>74</v>
      </c>
      <c r="M671" t="s">
        <v>29</v>
      </c>
      <c r="N671" t="s">
        <v>64</v>
      </c>
      <c r="O671" t="s">
        <v>31</v>
      </c>
      <c r="P671" t="s">
        <v>285</v>
      </c>
      <c r="Q671" t="s">
        <v>352</v>
      </c>
      <c r="R671" t="s">
        <v>147</v>
      </c>
      <c r="S671" t="s">
        <v>1836</v>
      </c>
    </row>
    <row r="672" ht="55" customHeight="1" spans="1:19">
      <c r="A672" s="1" t="str">
        <f>_xlfn.DISPIMG("ID_F4545513B643418BA14DEED6AD52F4A2",1)</f>
        <v>=DISPIMG("ID_F4545513B643418BA14DEED6AD52F4A2",1)</v>
      </c>
      <c r="B672" t="s">
        <v>106</v>
      </c>
      <c r="C672" t="s">
        <v>718</v>
      </c>
      <c r="D672" t="s">
        <v>304</v>
      </c>
      <c r="E672" t="s">
        <v>305</v>
      </c>
      <c r="F672" t="s">
        <v>40</v>
      </c>
      <c r="G672" t="s">
        <v>431</v>
      </c>
      <c r="H672" t="s">
        <v>50</v>
      </c>
      <c r="I672" t="s">
        <v>42</v>
      </c>
      <c r="J672" t="s">
        <v>26</v>
      </c>
      <c r="K672" t="s">
        <v>27</v>
      </c>
      <c r="L672" t="s">
        <v>28</v>
      </c>
      <c r="M672" t="s">
        <v>29</v>
      </c>
      <c r="N672" t="s">
        <v>30</v>
      </c>
      <c r="O672" t="s">
        <v>31</v>
      </c>
      <c r="P672" t="s">
        <v>128</v>
      </c>
      <c r="Q672" t="s">
        <v>468</v>
      </c>
      <c r="R672" t="s">
        <v>114</v>
      </c>
      <c r="S672" t="s">
        <v>1837</v>
      </c>
    </row>
    <row r="673" ht="55" customHeight="1" spans="1:19">
      <c r="A673" s="1" t="str">
        <f>_xlfn.DISPIMG("ID_6CAC9E297A394EA0834AFDBE1C1B2E3F",1)</f>
        <v>=DISPIMG("ID_6CAC9E297A394EA0834AFDBE1C1B2E3F",1)</v>
      </c>
      <c r="B673" t="s">
        <v>242</v>
      </c>
      <c r="C673" t="s">
        <v>1838</v>
      </c>
      <c r="D673" t="s">
        <v>435</v>
      </c>
      <c r="E673" t="s">
        <v>518</v>
      </c>
      <c r="F673" t="s">
        <v>245</v>
      </c>
      <c r="G673" t="s">
        <v>747</v>
      </c>
      <c r="H673" t="s">
        <v>195</v>
      </c>
      <c r="I673" t="s">
        <v>165</v>
      </c>
      <c r="J673" t="s">
        <v>26</v>
      </c>
      <c r="K673" t="s">
        <v>27</v>
      </c>
      <c r="L673" t="s">
        <v>231</v>
      </c>
      <c r="M673" t="s">
        <v>93</v>
      </c>
      <c r="N673" t="s">
        <v>30</v>
      </c>
      <c r="O673" t="s">
        <v>31</v>
      </c>
      <c r="P673" t="s">
        <v>182</v>
      </c>
      <c r="Q673" t="s">
        <v>297</v>
      </c>
      <c r="R673" t="s">
        <v>249</v>
      </c>
      <c r="S673" t="s">
        <v>1839</v>
      </c>
    </row>
    <row r="674" ht="55" customHeight="1" spans="1:19">
      <c r="A674" s="1" t="str">
        <f>_xlfn.DISPIMG("ID_FB0216DEBCB544D9ACC37719F5CB14FC",1)</f>
        <v>=DISPIMG("ID_FB0216DEBCB544D9ACC37719F5CB14FC",1)</v>
      </c>
      <c r="B674" t="s">
        <v>125</v>
      </c>
      <c r="C674" t="s">
        <v>374</v>
      </c>
      <c r="D674" t="s">
        <v>118</v>
      </c>
      <c r="E674" t="s">
        <v>119</v>
      </c>
      <c r="F674" t="s">
        <v>91</v>
      </c>
      <c r="G674" t="s">
        <v>246</v>
      </c>
      <c r="H674" t="s">
        <v>119</v>
      </c>
      <c r="I674" t="s">
        <v>42</v>
      </c>
      <c r="J674" t="s">
        <v>26</v>
      </c>
      <c r="K674" t="s">
        <v>27</v>
      </c>
      <c r="L674" t="s">
        <v>53</v>
      </c>
      <c r="M674" t="s">
        <v>93</v>
      </c>
      <c r="N674" t="s">
        <v>30</v>
      </c>
      <c r="O674" t="s">
        <v>31</v>
      </c>
      <c r="P674" t="s">
        <v>138</v>
      </c>
      <c r="Q674" t="s">
        <v>1810</v>
      </c>
      <c r="R674" t="s">
        <v>130</v>
      </c>
      <c r="S674" t="s">
        <v>1840</v>
      </c>
    </row>
    <row r="675" ht="55" customHeight="1" spans="1:19">
      <c r="A675" s="1" t="str">
        <f>_xlfn.DISPIMG("ID_BAAC9517C2754A8CA8A07416CF1BB999",1)</f>
        <v>=DISPIMG("ID_BAAC9517C2754A8CA8A07416CF1BB999",1)</v>
      </c>
      <c r="B675" t="s">
        <v>675</v>
      </c>
      <c r="C675" t="s">
        <v>663</v>
      </c>
      <c r="D675" t="s">
        <v>60</v>
      </c>
      <c r="E675" t="s">
        <v>61</v>
      </c>
      <c r="F675" t="s">
        <v>173</v>
      </c>
      <c r="G675" t="s">
        <v>408</v>
      </c>
      <c r="H675" t="s">
        <v>63</v>
      </c>
      <c r="I675" t="s">
        <v>137</v>
      </c>
      <c r="J675" t="s">
        <v>26</v>
      </c>
      <c r="K675" t="s">
        <v>27</v>
      </c>
      <c r="L675" t="s">
        <v>28</v>
      </c>
      <c r="M675" t="s">
        <v>93</v>
      </c>
      <c r="N675" t="s">
        <v>30</v>
      </c>
      <c r="O675" t="s">
        <v>31</v>
      </c>
      <c r="P675" t="s">
        <v>138</v>
      </c>
      <c r="Q675" t="s">
        <v>248</v>
      </c>
      <c r="R675" t="s">
        <v>618</v>
      </c>
      <c r="S675" t="s">
        <v>1841</v>
      </c>
    </row>
    <row r="676" ht="55" customHeight="1" spans="1:19">
      <c r="A676" s="1" t="str">
        <f>_xlfn.DISPIMG("ID_CA6B7D630FAA4AB08B0237C677225A6C",1)</f>
        <v>=DISPIMG("ID_CA6B7D630FAA4AB08B0237C677225A6C",1)</v>
      </c>
      <c r="B676" t="s">
        <v>988</v>
      </c>
      <c r="C676" t="s">
        <v>362</v>
      </c>
      <c r="D676" t="s">
        <v>272</v>
      </c>
      <c r="E676" t="s">
        <v>144</v>
      </c>
      <c r="F676" t="s">
        <v>989</v>
      </c>
      <c r="G676" t="s">
        <v>702</v>
      </c>
      <c r="H676" t="s">
        <v>195</v>
      </c>
      <c r="I676" t="s">
        <v>25</v>
      </c>
      <c r="J676" t="s">
        <v>26</v>
      </c>
      <c r="K676" t="s">
        <v>27</v>
      </c>
      <c r="L676" t="s">
        <v>323</v>
      </c>
      <c r="M676" t="s">
        <v>513</v>
      </c>
      <c r="N676" t="s">
        <v>30</v>
      </c>
      <c r="O676" t="s">
        <v>31</v>
      </c>
      <c r="P676" t="s">
        <v>128</v>
      </c>
      <c r="Q676" t="s">
        <v>190</v>
      </c>
      <c r="R676" t="s">
        <v>324</v>
      </c>
      <c r="S676" t="s">
        <v>1842</v>
      </c>
    </row>
    <row r="677" ht="55" customHeight="1" spans="1:19">
      <c r="A677" s="1" t="str">
        <f>_xlfn.DISPIMG("ID_4CD217D47B304EC5BEB563F356145672",1)</f>
        <v>=DISPIMG("ID_4CD217D47B304EC5BEB563F356145672",1)</v>
      </c>
      <c r="B677" t="s">
        <v>257</v>
      </c>
      <c r="C677" t="s">
        <v>936</v>
      </c>
      <c r="D677" t="s">
        <v>134</v>
      </c>
      <c r="E677" t="s">
        <v>72</v>
      </c>
      <c r="F677" t="s">
        <v>51</v>
      </c>
      <c r="G677" t="s">
        <v>1843</v>
      </c>
      <c r="H677" t="s">
        <v>72</v>
      </c>
      <c r="I677" t="s">
        <v>25</v>
      </c>
      <c r="J677" t="s">
        <v>26</v>
      </c>
      <c r="K677" t="s">
        <v>27</v>
      </c>
      <c r="L677" t="s">
        <v>74</v>
      </c>
      <c r="M677" t="s">
        <v>29</v>
      </c>
      <c r="N677" t="s">
        <v>30</v>
      </c>
      <c r="O677" t="s">
        <v>31</v>
      </c>
      <c r="P677" t="s">
        <v>121</v>
      </c>
      <c r="Q677" t="s">
        <v>725</v>
      </c>
      <c r="R677" t="s">
        <v>147</v>
      </c>
      <c r="S677" t="s">
        <v>1844</v>
      </c>
    </row>
    <row r="678" ht="55" customHeight="1" spans="1:19">
      <c r="A678" s="1" t="str">
        <f>_xlfn.DISPIMG("ID_ABA8EB09D8384556AF3606B48559F8D7",1)</f>
        <v>=DISPIMG("ID_ABA8EB09D8384556AF3606B48559F8D7",1)</v>
      </c>
      <c r="B678" t="s">
        <v>236</v>
      </c>
      <c r="C678" t="s">
        <v>972</v>
      </c>
      <c r="D678" t="s">
        <v>180</v>
      </c>
      <c r="E678" t="s">
        <v>111</v>
      </c>
      <c r="F678" t="s">
        <v>51</v>
      </c>
      <c r="G678" t="s">
        <v>1568</v>
      </c>
      <c r="H678" t="s">
        <v>111</v>
      </c>
      <c r="I678" t="s">
        <v>42</v>
      </c>
      <c r="J678" t="s">
        <v>26</v>
      </c>
      <c r="K678" t="s">
        <v>27</v>
      </c>
      <c r="L678" t="s">
        <v>53</v>
      </c>
      <c r="M678" t="s">
        <v>29</v>
      </c>
      <c r="N678" t="s">
        <v>30</v>
      </c>
      <c r="O678" t="s">
        <v>31</v>
      </c>
      <c r="P678" t="s">
        <v>1052</v>
      </c>
      <c r="Q678" t="s">
        <v>113</v>
      </c>
      <c r="R678" t="s">
        <v>104</v>
      </c>
      <c r="S678" t="s">
        <v>1845</v>
      </c>
    </row>
    <row r="679" ht="55" customHeight="1" spans="1:19">
      <c r="A679" s="1" t="str">
        <f>_xlfn.DISPIMG("ID_0C0EFAD220884B93A832E96F5D26A4FD",1)</f>
        <v>=DISPIMG("ID_0C0EFAD220884B93A832E96F5D26A4FD",1)</v>
      </c>
      <c r="B679" t="s">
        <v>320</v>
      </c>
      <c r="C679" t="s">
        <v>171</v>
      </c>
      <c r="D679" t="s">
        <v>460</v>
      </c>
      <c r="E679" t="s">
        <v>84</v>
      </c>
      <c r="F679" t="s">
        <v>173</v>
      </c>
      <c r="G679" t="s">
        <v>174</v>
      </c>
      <c r="H679" t="s">
        <v>84</v>
      </c>
      <c r="I679" t="s">
        <v>175</v>
      </c>
      <c r="J679" t="s">
        <v>26</v>
      </c>
      <c r="K679" t="s">
        <v>27</v>
      </c>
      <c r="L679" t="s">
        <v>323</v>
      </c>
      <c r="M679" t="s">
        <v>93</v>
      </c>
      <c r="N679" t="s">
        <v>30</v>
      </c>
      <c r="O679" t="s">
        <v>31</v>
      </c>
      <c r="P679" t="s">
        <v>65</v>
      </c>
      <c r="Q679" t="s">
        <v>677</v>
      </c>
      <c r="R679" t="s">
        <v>324</v>
      </c>
      <c r="S679" t="s">
        <v>1846</v>
      </c>
    </row>
    <row r="680" ht="55" customHeight="1" spans="1:19">
      <c r="A680" s="1" t="str">
        <f>_xlfn.DISPIMG("ID_D3B864D2C0924FBE8BC44DB00145730D",1)</f>
        <v>=DISPIMG("ID_D3B864D2C0924FBE8BC44DB00145730D",1)</v>
      </c>
      <c r="B680" t="s">
        <v>178</v>
      </c>
      <c r="C680" t="s">
        <v>407</v>
      </c>
      <c r="D680" t="s">
        <v>644</v>
      </c>
      <c r="E680" t="s">
        <v>328</v>
      </c>
      <c r="F680" t="s">
        <v>51</v>
      </c>
      <c r="G680" t="s">
        <v>894</v>
      </c>
      <c r="H680" t="s">
        <v>119</v>
      </c>
      <c r="I680" t="s">
        <v>42</v>
      </c>
      <c r="J680" t="s">
        <v>26</v>
      </c>
      <c r="K680" t="s">
        <v>27</v>
      </c>
      <c r="L680" t="s">
        <v>53</v>
      </c>
      <c r="M680" t="s">
        <v>29</v>
      </c>
      <c r="N680" t="s">
        <v>30</v>
      </c>
      <c r="O680" t="s">
        <v>31</v>
      </c>
      <c r="P680" t="s">
        <v>1039</v>
      </c>
      <c r="Q680" t="s">
        <v>85</v>
      </c>
      <c r="R680" t="s">
        <v>184</v>
      </c>
      <c r="S680" t="s">
        <v>1847</v>
      </c>
    </row>
    <row r="681" ht="55" customHeight="1" spans="1:19">
      <c r="A681" s="1" t="str">
        <f>_xlfn.DISPIMG("ID_41A42160C5FA4B5FA7EA1ECDB91D83B8",1)</f>
        <v>=DISPIMG("ID_41A42160C5FA4B5FA7EA1ECDB91D83B8",1)</v>
      </c>
      <c r="B681" t="s">
        <v>236</v>
      </c>
      <c r="C681" t="s">
        <v>1081</v>
      </c>
      <c r="D681" t="s">
        <v>60</v>
      </c>
      <c r="E681" t="s">
        <v>238</v>
      </c>
      <c r="F681" t="s">
        <v>51</v>
      </c>
      <c r="G681" t="s">
        <v>402</v>
      </c>
      <c r="H681" t="s">
        <v>238</v>
      </c>
      <c r="I681" t="s">
        <v>42</v>
      </c>
      <c r="J681" t="s">
        <v>26</v>
      </c>
      <c r="K681" t="s">
        <v>27</v>
      </c>
      <c r="L681" t="s">
        <v>74</v>
      </c>
      <c r="M681" t="s">
        <v>29</v>
      </c>
      <c r="N681" t="s">
        <v>64</v>
      </c>
      <c r="O681" t="s">
        <v>31</v>
      </c>
      <c r="P681" t="s">
        <v>65</v>
      </c>
      <c r="Q681" t="s">
        <v>966</v>
      </c>
      <c r="R681" t="s">
        <v>104</v>
      </c>
      <c r="S681" t="s">
        <v>1848</v>
      </c>
    </row>
    <row r="682" ht="55" customHeight="1" spans="1:19">
      <c r="A682" s="1" t="str">
        <f>_xlfn.DISPIMG("ID_5F2764BA68A64A4797BC2B1BF83F678B",1)</f>
        <v>=DISPIMG("ID_5F2764BA68A64A4797BC2B1BF83F678B",1)</v>
      </c>
      <c r="B682" t="s">
        <v>441</v>
      </c>
      <c r="C682" t="s">
        <v>209</v>
      </c>
      <c r="D682" t="s">
        <v>511</v>
      </c>
      <c r="E682" t="s">
        <v>204</v>
      </c>
      <c r="F682" t="s">
        <v>162</v>
      </c>
      <c r="G682" t="s">
        <v>312</v>
      </c>
      <c r="H682" t="s">
        <v>72</v>
      </c>
      <c r="I682" t="s">
        <v>165</v>
      </c>
      <c r="J682" t="s">
        <v>26</v>
      </c>
      <c r="K682" t="s">
        <v>27</v>
      </c>
      <c r="L682" t="s">
        <v>28</v>
      </c>
      <c r="M682" t="s">
        <v>166</v>
      </c>
      <c r="N682" t="s">
        <v>30</v>
      </c>
      <c r="O682" t="s">
        <v>31</v>
      </c>
      <c r="P682" t="s">
        <v>154</v>
      </c>
      <c r="Q682" t="s">
        <v>240</v>
      </c>
      <c r="R682" t="s">
        <v>168</v>
      </c>
      <c r="S682" t="s">
        <v>1849</v>
      </c>
    </row>
    <row r="683" ht="55" customHeight="1" spans="1:19">
      <c r="A683" s="1" t="str">
        <f>_xlfn.DISPIMG("ID_688961BFEDB447F3988E83C3C6F27B50",1)</f>
        <v>=DISPIMG("ID_688961BFEDB447F3988E83C3C6F27B50",1)</v>
      </c>
      <c r="B683" t="s">
        <v>158</v>
      </c>
      <c r="C683" t="s">
        <v>187</v>
      </c>
      <c r="D683" t="s">
        <v>379</v>
      </c>
      <c r="E683" t="s">
        <v>119</v>
      </c>
      <c r="F683" t="s">
        <v>162</v>
      </c>
      <c r="G683" t="s">
        <v>408</v>
      </c>
      <c r="H683" t="s">
        <v>119</v>
      </c>
      <c r="I683" t="s">
        <v>165</v>
      </c>
      <c r="J683" t="s">
        <v>26</v>
      </c>
      <c r="K683" t="s">
        <v>27</v>
      </c>
      <c r="L683" t="s">
        <v>28</v>
      </c>
      <c r="M683" t="s">
        <v>166</v>
      </c>
      <c r="N683" t="s">
        <v>30</v>
      </c>
      <c r="O683" t="s">
        <v>31</v>
      </c>
      <c r="P683" t="s">
        <v>763</v>
      </c>
      <c r="Q683" t="s">
        <v>76</v>
      </c>
      <c r="R683" t="s">
        <v>168</v>
      </c>
      <c r="S683" t="s">
        <v>1850</v>
      </c>
    </row>
    <row r="684" ht="55" customHeight="1" spans="1:19">
      <c r="A684" s="1" t="str">
        <f>_xlfn.DISPIMG("ID_5BB96F25C3814164ACCADEE8BBDC4579",1)</f>
        <v>=DISPIMG("ID_5BB96F25C3814164ACCADEE8BBDC4579",1)</v>
      </c>
      <c r="B684" t="s">
        <v>158</v>
      </c>
      <c r="C684" t="s">
        <v>314</v>
      </c>
      <c r="D684" t="s">
        <v>315</v>
      </c>
      <c r="E684" t="s">
        <v>641</v>
      </c>
      <c r="F684" t="s">
        <v>162</v>
      </c>
      <c r="G684" t="s">
        <v>317</v>
      </c>
      <c r="H684" t="s">
        <v>641</v>
      </c>
      <c r="I684" t="s">
        <v>165</v>
      </c>
      <c r="J684" t="s">
        <v>26</v>
      </c>
      <c r="K684" t="s">
        <v>27</v>
      </c>
      <c r="L684" t="s">
        <v>28</v>
      </c>
      <c r="M684" t="s">
        <v>166</v>
      </c>
      <c r="N684" t="s">
        <v>30</v>
      </c>
      <c r="O684" t="s">
        <v>31</v>
      </c>
      <c r="P684" t="s">
        <v>1766</v>
      </c>
      <c r="Q684" t="s">
        <v>76</v>
      </c>
      <c r="R684" t="s">
        <v>168</v>
      </c>
      <c r="S684" t="s">
        <v>1851</v>
      </c>
    </row>
    <row r="685" ht="55" customHeight="1" spans="1:19">
      <c r="A685" s="1" t="str">
        <f>_xlfn.DISPIMG("ID_560FA053911E48489545942C4BB61187",1)</f>
        <v>=DISPIMG("ID_560FA053911E48489545942C4BB61187",1)</v>
      </c>
      <c r="B685" t="s">
        <v>257</v>
      </c>
      <c r="C685" t="s">
        <v>266</v>
      </c>
      <c r="D685" t="s">
        <v>322</v>
      </c>
      <c r="E685" t="s">
        <v>1095</v>
      </c>
      <c r="F685" t="s">
        <v>51</v>
      </c>
      <c r="G685" t="s">
        <v>174</v>
      </c>
      <c r="H685" t="s">
        <v>1095</v>
      </c>
      <c r="I685" t="s">
        <v>25</v>
      </c>
      <c r="J685" t="s">
        <v>26</v>
      </c>
      <c r="K685" t="s">
        <v>27</v>
      </c>
      <c r="L685" t="s">
        <v>28</v>
      </c>
      <c r="M685" t="s">
        <v>29</v>
      </c>
      <c r="N685" t="s">
        <v>30</v>
      </c>
      <c r="O685" t="s">
        <v>31</v>
      </c>
      <c r="P685" t="s">
        <v>112</v>
      </c>
      <c r="Q685" t="s">
        <v>76</v>
      </c>
      <c r="R685" t="s">
        <v>263</v>
      </c>
      <c r="S685" t="s">
        <v>1852</v>
      </c>
    </row>
    <row r="686" ht="55" customHeight="1" spans="1:19">
      <c r="A686" s="1" t="str">
        <f>_xlfn.DISPIMG("ID_5340651FC11C43B098FC2CF43C38E060",1)</f>
        <v>=DISPIMG("ID_5340651FC11C43B098FC2CF43C38E060",1)</v>
      </c>
      <c r="B686" t="s">
        <v>366</v>
      </c>
      <c r="C686" t="s">
        <v>1239</v>
      </c>
      <c r="D686" t="s">
        <v>375</v>
      </c>
      <c r="E686" t="s">
        <v>100</v>
      </c>
      <c r="F686" t="s">
        <v>245</v>
      </c>
      <c r="G686" t="s">
        <v>747</v>
      </c>
      <c r="H686" t="s">
        <v>1244</v>
      </c>
      <c r="I686" t="s">
        <v>165</v>
      </c>
      <c r="J686" t="s">
        <v>26</v>
      </c>
      <c r="K686" t="s">
        <v>27</v>
      </c>
      <c r="L686" t="s">
        <v>231</v>
      </c>
      <c r="M686" t="s">
        <v>93</v>
      </c>
      <c r="N686" t="s">
        <v>30</v>
      </c>
      <c r="O686" t="s">
        <v>31</v>
      </c>
      <c r="P686" t="s">
        <v>128</v>
      </c>
      <c r="Q686" t="s">
        <v>183</v>
      </c>
      <c r="R686" t="s">
        <v>370</v>
      </c>
      <c r="S686" t="s">
        <v>1853</v>
      </c>
    </row>
    <row r="687" ht="55" customHeight="1" spans="1:19">
      <c r="A687" s="1" t="str">
        <f>_xlfn.DISPIMG("ID_F5DD7219510D40F3BF3FEB5E25B6A4D8",1)</f>
        <v>=DISPIMG("ID_F5DD7219510D40F3BF3FEB5E25B6A4D8",1)</v>
      </c>
      <c r="B687" t="s">
        <v>458</v>
      </c>
      <c r="C687" t="s">
        <v>1668</v>
      </c>
      <c r="D687" t="s">
        <v>695</v>
      </c>
      <c r="E687" t="s">
        <v>311</v>
      </c>
      <c r="F687" t="s">
        <v>173</v>
      </c>
      <c r="G687" t="s">
        <v>174</v>
      </c>
      <c r="H687" t="s">
        <v>39</v>
      </c>
      <c r="I687" t="s">
        <v>175</v>
      </c>
      <c r="J687" t="s">
        <v>26</v>
      </c>
      <c r="K687" t="s">
        <v>27</v>
      </c>
      <c r="L687" t="s">
        <v>28</v>
      </c>
      <c r="M687" t="s">
        <v>93</v>
      </c>
      <c r="N687" t="s">
        <v>30</v>
      </c>
      <c r="O687" t="s">
        <v>31</v>
      </c>
      <c r="P687" t="s">
        <v>285</v>
      </c>
      <c r="Q687" t="s">
        <v>44</v>
      </c>
      <c r="R687" t="s">
        <v>618</v>
      </c>
      <c r="S687" t="s">
        <v>1854</v>
      </c>
    </row>
    <row r="688" ht="55" customHeight="1" spans="1:19">
      <c r="A688" s="1" t="str">
        <f>_xlfn.DISPIMG("ID_9E14B70877DB4F3BA49BFCBBD823266B",1)</f>
        <v>=DISPIMG("ID_9E14B70877DB4F3BA49BFCBBD823266B",1)</v>
      </c>
      <c r="B688" t="s">
        <v>441</v>
      </c>
      <c r="C688" t="s">
        <v>159</v>
      </c>
      <c r="D688" t="s">
        <v>379</v>
      </c>
      <c r="E688" t="s">
        <v>119</v>
      </c>
      <c r="F688" t="s">
        <v>162</v>
      </c>
      <c r="G688" t="s">
        <v>312</v>
      </c>
      <c r="H688" t="s">
        <v>119</v>
      </c>
      <c r="I688" t="s">
        <v>165</v>
      </c>
      <c r="J688" t="s">
        <v>26</v>
      </c>
      <c r="K688" t="s">
        <v>27</v>
      </c>
      <c r="L688" t="s">
        <v>231</v>
      </c>
      <c r="M688" t="s">
        <v>166</v>
      </c>
      <c r="N688" t="s">
        <v>30</v>
      </c>
      <c r="O688" t="s">
        <v>31</v>
      </c>
      <c r="P688" t="s">
        <v>182</v>
      </c>
      <c r="Q688" t="s">
        <v>76</v>
      </c>
      <c r="R688" t="s">
        <v>168</v>
      </c>
      <c r="S688" t="s">
        <v>1855</v>
      </c>
    </row>
    <row r="689" ht="55" customHeight="1" spans="1:19">
      <c r="A689" s="1" t="str">
        <f>_xlfn.DISPIMG("ID_0BB5C6A7453141B7ABFE7FFEF4BA4430",1)</f>
        <v>=DISPIMG("ID_0BB5C6A7453141B7ABFE7FFEF4BA4430",1)</v>
      </c>
      <c r="B689" t="s">
        <v>242</v>
      </c>
      <c r="C689" t="s">
        <v>851</v>
      </c>
      <c r="D689" t="s">
        <v>556</v>
      </c>
      <c r="E689" t="s">
        <v>72</v>
      </c>
      <c r="F689" t="s">
        <v>245</v>
      </c>
      <c r="G689" t="s">
        <v>582</v>
      </c>
      <c r="H689" t="s">
        <v>72</v>
      </c>
      <c r="I689" t="s">
        <v>165</v>
      </c>
      <c r="J689" t="s">
        <v>26</v>
      </c>
      <c r="K689" t="s">
        <v>27</v>
      </c>
      <c r="L689" t="s">
        <v>28</v>
      </c>
      <c r="M689" t="s">
        <v>93</v>
      </c>
      <c r="N689" t="s">
        <v>30</v>
      </c>
      <c r="O689" t="s">
        <v>31</v>
      </c>
      <c r="P689" t="s">
        <v>75</v>
      </c>
      <c r="Q689" t="s">
        <v>190</v>
      </c>
      <c r="R689" t="s">
        <v>249</v>
      </c>
      <c r="S689" t="s">
        <v>1856</v>
      </c>
    </row>
    <row r="690" ht="55" customHeight="1" spans="1:19">
      <c r="A690" s="1" t="str">
        <f>_xlfn.DISPIMG("ID_88C58DB0443C4CAB86EDCC27BCC627CC",1)</f>
        <v>=DISPIMG("ID_88C58DB0443C4CAB86EDCC27BCC627CC",1)</v>
      </c>
      <c r="B690" t="s">
        <v>236</v>
      </c>
      <c r="C690" t="s">
        <v>1081</v>
      </c>
      <c r="D690" t="s">
        <v>506</v>
      </c>
      <c r="E690" t="s">
        <v>507</v>
      </c>
      <c r="F690" t="s">
        <v>51</v>
      </c>
      <c r="G690" t="s">
        <v>1857</v>
      </c>
      <c r="H690" t="s">
        <v>135</v>
      </c>
      <c r="I690" t="s">
        <v>42</v>
      </c>
      <c r="J690" t="s">
        <v>26</v>
      </c>
      <c r="K690" t="s">
        <v>27</v>
      </c>
      <c r="L690" t="s">
        <v>28</v>
      </c>
      <c r="M690" t="s">
        <v>29</v>
      </c>
      <c r="N690" t="s">
        <v>30</v>
      </c>
      <c r="O690" t="s">
        <v>31</v>
      </c>
      <c r="P690" t="s">
        <v>182</v>
      </c>
      <c r="Q690" t="s">
        <v>468</v>
      </c>
      <c r="R690" t="s">
        <v>104</v>
      </c>
      <c r="S690" t="s">
        <v>1858</v>
      </c>
    </row>
    <row r="691" ht="55" customHeight="1" spans="1:19">
      <c r="A691" s="1" t="str">
        <f>_xlfn.DISPIMG("ID_533402EA9F6148BCA8728AC1B2FB1F08",1)</f>
        <v>=DISPIMG("ID_533402EA9F6148BCA8728AC1B2FB1F08",1)</v>
      </c>
      <c r="B691" t="s">
        <v>141</v>
      </c>
      <c r="C691" t="s">
        <v>382</v>
      </c>
      <c r="D691" t="s">
        <v>799</v>
      </c>
      <c r="E691" t="s">
        <v>305</v>
      </c>
      <c r="F691" t="s">
        <v>40</v>
      </c>
      <c r="G691" t="s">
        <v>436</v>
      </c>
      <c r="H691" t="s">
        <v>50</v>
      </c>
      <c r="I691" t="s">
        <v>42</v>
      </c>
      <c r="J691" t="s">
        <v>26</v>
      </c>
      <c r="K691" t="s">
        <v>27</v>
      </c>
      <c r="L691" t="s">
        <v>74</v>
      </c>
      <c r="M691" t="s">
        <v>29</v>
      </c>
      <c r="N691" t="s">
        <v>30</v>
      </c>
      <c r="O691" t="s">
        <v>31</v>
      </c>
      <c r="P691" t="s">
        <v>221</v>
      </c>
      <c r="Q691" t="s">
        <v>66</v>
      </c>
      <c r="R691" t="s">
        <v>86</v>
      </c>
      <c r="S691" t="s">
        <v>1859</v>
      </c>
    </row>
    <row r="692" ht="55" customHeight="1" spans="1:19">
      <c r="A692" s="1" t="str">
        <f>_xlfn.DISPIMG("ID_C664C3870BD443E3870627EE10D6DFB9",1)</f>
        <v>=DISPIMG("ID_C664C3870BD443E3870627EE10D6DFB9",1)</v>
      </c>
      <c r="B692" t="s">
        <v>1860</v>
      </c>
      <c r="C692" t="s">
        <v>1025</v>
      </c>
      <c r="D692" t="s">
        <v>304</v>
      </c>
      <c r="E692" t="s">
        <v>305</v>
      </c>
      <c r="F692" t="s">
        <v>290</v>
      </c>
      <c r="G692" t="s">
        <v>383</v>
      </c>
      <c r="H692" t="s">
        <v>50</v>
      </c>
      <c r="I692" t="s">
        <v>42</v>
      </c>
      <c r="J692" t="s">
        <v>26</v>
      </c>
      <c r="K692" t="s">
        <v>27</v>
      </c>
      <c r="L692" t="s">
        <v>28</v>
      </c>
      <c r="M692" t="s">
        <v>93</v>
      </c>
      <c r="N692" t="s">
        <v>30</v>
      </c>
      <c r="O692" t="s">
        <v>31</v>
      </c>
      <c r="P692" t="s">
        <v>1677</v>
      </c>
      <c r="Q692" t="s">
        <v>113</v>
      </c>
      <c r="R692" t="s">
        <v>130</v>
      </c>
      <c r="S692" t="s">
        <v>1861</v>
      </c>
    </row>
    <row r="693" ht="55" customHeight="1" spans="1:19">
      <c r="A693" s="1" t="str">
        <f>_xlfn.DISPIMG("ID_0E85ADBE750544F281381C33737C06B5",1)</f>
        <v>=DISPIMG("ID_0E85ADBE750544F281381C33737C06B5",1)</v>
      </c>
      <c r="B693" t="s">
        <v>935</v>
      </c>
      <c r="C693" t="s">
        <v>1862</v>
      </c>
      <c r="D693" t="s">
        <v>435</v>
      </c>
      <c r="E693" t="s">
        <v>63</v>
      </c>
      <c r="F693" t="s">
        <v>245</v>
      </c>
      <c r="G693" t="s">
        <v>1863</v>
      </c>
      <c r="H693" t="s">
        <v>63</v>
      </c>
      <c r="I693" t="s">
        <v>165</v>
      </c>
      <c r="J693" t="s">
        <v>26</v>
      </c>
      <c r="K693" t="s">
        <v>27</v>
      </c>
      <c r="L693" t="s">
        <v>231</v>
      </c>
      <c r="M693" t="s">
        <v>93</v>
      </c>
      <c r="N693" t="s">
        <v>30</v>
      </c>
      <c r="O693" t="s">
        <v>31</v>
      </c>
      <c r="P693" t="s">
        <v>65</v>
      </c>
      <c r="Q693" t="s">
        <v>297</v>
      </c>
      <c r="R693" t="s">
        <v>249</v>
      </c>
      <c r="S693" t="s">
        <v>1864</v>
      </c>
    </row>
    <row r="694" ht="55" customHeight="1" spans="1:19">
      <c r="A694" s="1" t="str">
        <f>_xlfn.DISPIMG("ID_A73C44224D0141F4A2B59B671CB04A91",1)</f>
        <v>=DISPIMG("ID_A73C44224D0141F4A2B59B671CB04A91",1)</v>
      </c>
      <c r="B694" t="s">
        <v>481</v>
      </c>
      <c r="C694" t="s">
        <v>826</v>
      </c>
      <c r="D694" t="s">
        <v>210</v>
      </c>
      <c r="E694" t="s">
        <v>211</v>
      </c>
      <c r="F694" t="s">
        <v>40</v>
      </c>
      <c r="G694" t="s">
        <v>600</v>
      </c>
      <c r="H694" t="s">
        <v>211</v>
      </c>
      <c r="I694" t="s">
        <v>487</v>
      </c>
      <c r="J694" t="s">
        <v>26</v>
      </c>
      <c r="K694" t="s">
        <v>27</v>
      </c>
      <c r="L694" t="s">
        <v>231</v>
      </c>
      <c r="M694" t="s">
        <v>29</v>
      </c>
      <c r="N694" t="s">
        <v>64</v>
      </c>
      <c r="O694" t="s">
        <v>31</v>
      </c>
      <c r="P694" t="s">
        <v>491</v>
      </c>
      <c r="Q694" t="s">
        <v>255</v>
      </c>
      <c r="R694" t="s">
        <v>1865</v>
      </c>
      <c r="S694" t="s">
        <v>1866</v>
      </c>
    </row>
    <row r="695" ht="55" customHeight="1" spans="1:19">
      <c r="A695" s="1" t="str">
        <f>_xlfn.DISPIMG("ID_84748DD267544409A7909D49D585D552",1)</f>
        <v>=DISPIMG("ID_84748DD267544409A7909D49D585D552",1)</v>
      </c>
      <c r="B695" t="s">
        <v>626</v>
      </c>
      <c r="C695" t="s">
        <v>498</v>
      </c>
      <c r="D695" t="s">
        <v>789</v>
      </c>
      <c r="E695" t="s">
        <v>659</v>
      </c>
      <c r="F695" t="s">
        <v>162</v>
      </c>
      <c r="G695" t="s">
        <v>1867</v>
      </c>
      <c r="H695" t="s">
        <v>357</v>
      </c>
      <c r="I695" t="s">
        <v>175</v>
      </c>
      <c r="J695" t="s">
        <v>26</v>
      </c>
      <c r="K695" t="s">
        <v>27</v>
      </c>
      <c r="L695" t="s">
        <v>28</v>
      </c>
      <c r="M695" t="s">
        <v>166</v>
      </c>
      <c r="N695" t="s">
        <v>30</v>
      </c>
      <c r="O695" t="s">
        <v>31</v>
      </c>
      <c r="P695" t="s">
        <v>65</v>
      </c>
      <c r="Q695" t="s">
        <v>55</v>
      </c>
      <c r="R695" t="s">
        <v>147</v>
      </c>
      <c r="S695" t="s">
        <v>1868</v>
      </c>
    </row>
    <row r="696" ht="55" customHeight="1" spans="1:19">
      <c r="A696" s="1" t="str">
        <f>_xlfn.DISPIMG("ID_84DD5CB7658943E898A7701679E81B33",1)</f>
        <v>=DISPIMG("ID_84DD5CB7658943E898A7701679E81B33",1)</v>
      </c>
      <c r="B696" t="s">
        <v>385</v>
      </c>
      <c r="C696" t="s">
        <v>910</v>
      </c>
      <c r="D696" t="s">
        <v>375</v>
      </c>
      <c r="E696" t="s">
        <v>486</v>
      </c>
      <c r="F696" t="s">
        <v>40</v>
      </c>
      <c r="G696" t="s">
        <v>387</v>
      </c>
      <c r="H696" t="s">
        <v>486</v>
      </c>
      <c r="I696" t="s">
        <v>25</v>
      </c>
      <c r="J696" t="s">
        <v>26</v>
      </c>
      <c r="K696" t="s">
        <v>27</v>
      </c>
      <c r="L696" t="s">
        <v>557</v>
      </c>
      <c r="M696" t="s">
        <v>29</v>
      </c>
      <c r="N696" t="s">
        <v>30</v>
      </c>
      <c r="O696" t="s">
        <v>31</v>
      </c>
      <c r="P696" t="s">
        <v>65</v>
      </c>
      <c r="Q696" t="s">
        <v>297</v>
      </c>
      <c r="R696" t="s">
        <v>389</v>
      </c>
      <c r="S696" t="s">
        <v>1869</v>
      </c>
    </row>
    <row r="697" ht="55" customHeight="1" spans="1:19">
      <c r="A697" s="1" t="str">
        <f>_xlfn.DISPIMG("ID_18216AF1F5574A30A1C85EA898848E1A",1)</f>
        <v>=DISPIMG("ID_18216AF1F5574A30A1C85EA898848E1A",1)</v>
      </c>
      <c r="B697" t="s">
        <v>439</v>
      </c>
      <c r="C697" t="s">
        <v>362</v>
      </c>
      <c r="D697" t="s">
        <v>524</v>
      </c>
      <c r="E697" t="s">
        <v>63</v>
      </c>
      <c r="F697" t="s">
        <v>91</v>
      </c>
      <c r="G697" t="s">
        <v>431</v>
      </c>
      <c r="H697" t="s">
        <v>63</v>
      </c>
      <c r="I697" t="s">
        <v>137</v>
      </c>
      <c r="J697" t="s">
        <v>26</v>
      </c>
      <c r="K697" t="s">
        <v>27</v>
      </c>
      <c r="L697" t="s">
        <v>28</v>
      </c>
      <c r="M697" t="s">
        <v>93</v>
      </c>
      <c r="N697" t="s">
        <v>30</v>
      </c>
      <c r="O697" t="s">
        <v>31</v>
      </c>
      <c r="P697" t="s">
        <v>301</v>
      </c>
      <c r="Q697" t="s">
        <v>76</v>
      </c>
      <c r="R697" t="s">
        <v>191</v>
      </c>
      <c r="S697" t="s">
        <v>1870</v>
      </c>
    </row>
    <row r="698" ht="55" customHeight="1" spans="1:19">
      <c r="A698" s="1" t="str">
        <f>_xlfn.DISPIMG("ID_967D7C3E4CB848DBB79F0451E67CA9D2",1)</f>
        <v>=DISPIMG("ID_967D7C3E4CB848DBB79F0451E67CA9D2",1)</v>
      </c>
      <c r="B698" t="s">
        <v>1232</v>
      </c>
      <c r="C698" t="s">
        <v>560</v>
      </c>
      <c r="D698" t="s">
        <v>210</v>
      </c>
      <c r="E698" t="s">
        <v>211</v>
      </c>
      <c r="F698" t="s">
        <v>91</v>
      </c>
      <c r="G698" t="s">
        <v>246</v>
      </c>
      <c r="H698" t="s">
        <v>211</v>
      </c>
      <c r="I698" t="s">
        <v>137</v>
      </c>
      <c r="J698" t="s">
        <v>26</v>
      </c>
      <c r="K698" t="s">
        <v>27</v>
      </c>
      <c r="L698" t="s">
        <v>28</v>
      </c>
      <c r="M698" t="s">
        <v>93</v>
      </c>
      <c r="N698" t="s">
        <v>30</v>
      </c>
      <c r="O698" t="s">
        <v>31</v>
      </c>
      <c r="P698" t="s">
        <v>54</v>
      </c>
      <c r="Q698" t="s">
        <v>76</v>
      </c>
      <c r="R698" t="s">
        <v>130</v>
      </c>
      <c r="S698" t="s">
        <v>1871</v>
      </c>
    </row>
    <row r="699" ht="55" customHeight="1" spans="1:19">
      <c r="A699" s="1" t="str">
        <f>_xlfn.DISPIMG("ID_D2268E27A5D947139F6BA9EB2F216B10",1)</f>
        <v>=DISPIMG("ID_D2268E27A5D947139F6BA9EB2F216B10",1)</v>
      </c>
      <c r="B699" t="s">
        <v>854</v>
      </c>
      <c r="C699" t="s">
        <v>933</v>
      </c>
      <c r="D699" t="s">
        <v>581</v>
      </c>
      <c r="E699" t="s">
        <v>109</v>
      </c>
      <c r="F699" t="s">
        <v>40</v>
      </c>
      <c r="G699" t="s">
        <v>582</v>
      </c>
      <c r="H699" t="s">
        <v>111</v>
      </c>
      <c r="I699" t="s">
        <v>25</v>
      </c>
      <c r="J699" t="s">
        <v>26</v>
      </c>
      <c r="K699" t="s">
        <v>27</v>
      </c>
      <c r="L699" t="s">
        <v>557</v>
      </c>
      <c r="M699" t="s">
        <v>29</v>
      </c>
      <c r="N699" t="s">
        <v>30</v>
      </c>
      <c r="O699" t="s">
        <v>31</v>
      </c>
      <c r="P699" t="s">
        <v>54</v>
      </c>
      <c r="Q699" t="s">
        <v>1569</v>
      </c>
      <c r="R699" t="s">
        <v>945</v>
      </c>
      <c r="S699" t="s">
        <v>1872</v>
      </c>
    </row>
    <row r="700" ht="55" customHeight="1" spans="1:19">
      <c r="A700" s="1" t="str">
        <f>_xlfn.DISPIMG("ID_BC41C73E27994E4793DF42B440CC6B4F",1)</f>
        <v>=DISPIMG("ID_BC41C73E27994E4793DF42B440CC6B4F",1)</v>
      </c>
      <c r="B700" t="s">
        <v>141</v>
      </c>
      <c r="C700" t="s">
        <v>910</v>
      </c>
      <c r="D700" t="s">
        <v>143</v>
      </c>
      <c r="E700" t="s">
        <v>144</v>
      </c>
      <c r="F700" t="s">
        <v>40</v>
      </c>
      <c r="G700" t="s">
        <v>120</v>
      </c>
      <c r="H700" t="s">
        <v>144</v>
      </c>
      <c r="I700" t="s">
        <v>42</v>
      </c>
      <c r="J700" t="s">
        <v>26</v>
      </c>
      <c r="K700" t="s">
        <v>27</v>
      </c>
      <c r="L700" t="s">
        <v>74</v>
      </c>
      <c r="M700" t="s">
        <v>29</v>
      </c>
      <c r="N700" t="s">
        <v>64</v>
      </c>
      <c r="O700" t="s">
        <v>31</v>
      </c>
      <c r="P700" t="s">
        <v>75</v>
      </c>
      <c r="Q700" t="s">
        <v>297</v>
      </c>
      <c r="R700" t="s">
        <v>86</v>
      </c>
      <c r="S700" t="s">
        <v>1873</v>
      </c>
    </row>
    <row r="701" ht="55" customHeight="1" spans="1:19">
      <c r="A701" s="1" t="str">
        <f>_xlfn.DISPIMG("ID_1B76B3294AE142B291DA25EC5F4B0C77",1)</f>
        <v>=DISPIMG("ID_1B76B3294AE142B291DA25EC5F4B0C77",1)</v>
      </c>
      <c r="B701" t="s">
        <v>829</v>
      </c>
      <c r="C701" t="s">
        <v>1138</v>
      </c>
      <c r="D701" t="s">
        <v>830</v>
      </c>
      <c r="E701" t="s">
        <v>316</v>
      </c>
      <c r="F701" t="s">
        <v>40</v>
      </c>
      <c r="G701" t="s">
        <v>538</v>
      </c>
      <c r="H701" t="s">
        <v>144</v>
      </c>
      <c r="I701" t="s">
        <v>42</v>
      </c>
      <c r="J701" t="s">
        <v>26</v>
      </c>
      <c r="K701" t="s">
        <v>27</v>
      </c>
      <c r="L701" t="s">
        <v>28</v>
      </c>
      <c r="M701" t="s">
        <v>29</v>
      </c>
      <c r="N701" t="s">
        <v>30</v>
      </c>
      <c r="O701" t="s">
        <v>31</v>
      </c>
      <c r="P701" t="s">
        <v>414</v>
      </c>
      <c r="Q701" t="s">
        <v>1023</v>
      </c>
      <c r="R701" t="s">
        <v>45</v>
      </c>
      <c r="S701" t="s">
        <v>1874</v>
      </c>
    </row>
    <row r="702" ht="55" customHeight="1" spans="1:19">
      <c r="A702" s="1" t="str">
        <f>_xlfn.DISPIMG("ID_D340F393A1D14EE38445375B77E660E5",1)</f>
        <v>=DISPIMG("ID_D340F393A1D14EE38445375B77E660E5",1)</v>
      </c>
      <c r="B702" t="s">
        <v>178</v>
      </c>
      <c r="C702" t="s">
        <v>1875</v>
      </c>
      <c r="D702" t="s">
        <v>60</v>
      </c>
      <c r="E702" t="s">
        <v>195</v>
      </c>
      <c r="F702" t="s">
        <v>51</v>
      </c>
      <c r="G702" t="s">
        <v>1876</v>
      </c>
      <c r="H702" t="s">
        <v>197</v>
      </c>
      <c r="I702" t="s">
        <v>42</v>
      </c>
      <c r="J702" t="s">
        <v>26</v>
      </c>
      <c r="K702" t="s">
        <v>27</v>
      </c>
      <c r="L702" t="s">
        <v>28</v>
      </c>
      <c r="M702" t="s">
        <v>29</v>
      </c>
      <c r="N702" t="s">
        <v>64</v>
      </c>
      <c r="O702" t="s">
        <v>31</v>
      </c>
      <c r="P702" t="s">
        <v>268</v>
      </c>
      <c r="Q702" t="s">
        <v>765</v>
      </c>
      <c r="R702" t="s">
        <v>184</v>
      </c>
      <c r="S702" t="s">
        <v>1877</v>
      </c>
    </row>
    <row r="703" ht="55" customHeight="1" spans="1:19">
      <c r="A703" s="1" t="str">
        <f>_xlfn.DISPIMG("ID_28D6187856CF4C2D804DD6D0B460741B",1)</f>
        <v>=DISPIMG("ID_28D6187856CF4C2D804DD6D0B460741B",1)</v>
      </c>
      <c r="B703" t="s">
        <v>366</v>
      </c>
      <c r="C703" t="s">
        <v>258</v>
      </c>
      <c r="D703" t="s">
        <v>143</v>
      </c>
      <c r="E703" t="s">
        <v>144</v>
      </c>
      <c r="F703" t="s">
        <v>245</v>
      </c>
      <c r="G703" t="s">
        <v>747</v>
      </c>
      <c r="H703" t="s">
        <v>144</v>
      </c>
      <c r="I703" t="s">
        <v>165</v>
      </c>
      <c r="J703" t="s">
        <v>26</v>
      </c>
      <c r="K703" t="s">
        <v>27</v>
      </c>
      <c r="L703" t="s">
        <v>28</v>
      </c>
      <c r="M703" t="s">
        <v>93</v>
      </c>
      <c r="N703" t="s">
        <v>30</v>
      </c>
      <c r="O703" t="s">
        <v>31</v>
      </c>
      <c r="P703" t="s">
        <v>65</v>
      </c>
      <c r="Q703" t="s">
        <v>76</v>
      </c>
      <c r="R703" t="s">
        <v>1878</v>
      </c>
      <c r="S703" t="s">
        <v>1879</v>
      </c>
    </row>
    <row r="704" ht="55" customHeight="1" spans="1:19">
      <c r="A704" s="1" t="str">
        <f>_xlfn.DISPIMG("ID_432EF110AE4A487C8B626B2AB640DCDD",1)</f>
        <v>=DISPIMG("ID_432EF110AE4A487C8B626B2AB640DCDD",1)</v>
      </c>
      <c r="B704" t="s">
        <v>257</v>
      </c>
      <c r="C704" t="s">
        <v>1880</v>
      </c>
      <c r="D704" t="s">
        <v>448</v>
      </c>
      <c r="E704" t="s">
        <v>72</v>
      </c>
      <c r="F704" t="s">
        <v>51</v>
      </c>
      <c r="G704" t="s">
        <v>52</v>
      </c>
      <c r="H704" t="s">
        <v>72</v>
      </c>
      <c r="I704" t="s">
        <v>25</v>
      </c>
      <c r="J704" t="s">
        <v>26</v>
      </c>
      <c r="K704" t="s">
        <v>27</v>
      </c>
      <c r="L704" t="s">
        <v>28</v>
      </c>
      <c r="M704" t="s">
        <v>29</v>
      </c>
      <c r="N704" t="s">
        <v>30</v>
      </c>
      <c r="O704" t="s">
        <v>31</v>
      </c>
      <c r="P704" t="s">
        <v>75</v>
      </c>
      <c r="Q704" t="s">
        <v>55</v>
      </c>
      <c r="R704" t="s">
        <v>263</v>
      </c>
      <c r="S704" t="s">
        <v>1881</v>
      </c>
    </row>
    <row r="705" ht="55" customHeight="1" spans="1:19">
      <c r="A705" s="1" t="str">
        <f>_xlfn.DISPIMG("ID_28AEC161CBEC444F867569CA4FD34821",1)</f>
        <v>=DISPIMG("ID_28AEC161CBEC444F867569CA4FD34821",1)</v>
      </c>
      <c r="B705" t="s">
        <v>158</v>
      </c>
      <c r="C705" t="s">
        <v>1217</v>
      </c>
      <c r="D705" t="s">
        <v>442</v>
      </c>
      <c r="E705" t="s">
        <v>82</v>
      </c>
      <c r="F705" t="s">
        <v>162</v>
      </c>
      <c r="G705" t="s">
        <v>1442</v>
      </c>
      <c r="H705" t="s">
        <v>84</v>
      </c>
      <c r="I705" t="s">
        <v>165</v>
      </c>
      <c r="J705" t="s">
        <v>26</v>
      </c>
      <c r="K705" t="s">
        <v>27</v>
      </c>
      <c r="L705" t="s">
        <v>28</v>
      </c>
      <c r="M705" t="s">
        <v>166</v>
      </c>
      <c r="N705" t="s">
        <v>30</v>
      </c>
      <c r="O705" t="s">
        <v>31</v>
      </c>
      <c r="P705" t="s">
        <v>94</v>
      </c>
      <c r="Q705" t="s">
        <v>76</v>
      </c>
      <c r="R705" t="s">
        <v>168</v>
      </c>
      <c r="S705" t="s">
        <v>1882</v>
      </c>
    </row>
    <row r="706" ht="55" customHeight="1" spans="1:19">
      <c r="A706" s="1" t="str">
        <f>_xlfn.DISPIMG("ID_57ACCB39A8774677B9086DD2C09EA6B0",1)</f>
        <v>=DISPIMG("ID_57ACCB39A8774677B9086DD2C09EA6B0",1)</v>
      </c>
      <c r="B706" t="s">
        <v>282</v>
      </c>
      <c r="C706" t="s">
        <v>309</v>
      </c>
      <c r="D706" t="s">
        <v>552</v>
      </c>
      <c r="E706" t="s">
        <v>507</v>
      </c>
      <c r="F706" t="s">
        <v>40</v>
      </c>
      <c r="G706" t="s">
        <v>174</v>
      </c>
      <c r="H706" t="s">
        <v>135</v>
      </c>
      <c r="I706" t="s">
        <v>42</v>
      </c>
      <c r="J706" t="s">
        <v>26</v>
      </c>
      <c r="K706" t="s">
        <v>27</v>
      </c>
      <c r="L706" t="s">
        <v>74</v>
      </c>
      <c r="M706" t="s">
        <v>29</v>
      </c>
      <c r="N706" t="s">
        <v>30</v>
      </c>
      <c r="O706" t="s">
        <v>31</v>
      </c>
      <c r="P706" t="s">
        <v>75</v>
      </c>
      <c r="Q706" t="s">
        <v>1810</v>
      </c>
      <c r="R706" t="s">
        <v>45</v>
      </c>
      <c r="S706" t="s">
        <v>1883</v>
      </c>
    </row>
    <row r="707" ht="55" customHeight="1" spans="1:19">
      <c r="A707" s="1" t="str">
        <f>_xlfn.DISPIMG("ID_3ED04A80D2004418B157DDE10C7D8935",1)</f>
        <v>=DISPIMG("ID_3ED04A80D2004418B157DDE10C7D8935",1)</v>
      </c>
      <c r="B707" t="s">
        <v>1884</v>
      </c>
      <c r="C707" t="s">
        <v>159</v>
      </c>
      <c r="D707" t="s">
        <v>315</v>
      </c>
      <c r="E707" t="s">
        <v>316</v>
      </c>
      <c r="F707" t="s">
        <v>162</v>
      </c>
      <c r="G707" t="s">
        <v>431</v>
      </c>
      <c r="H707" t="s">
        <v>144</v>
      </c>
      <c r="I707" t="s">
        <v>189</v>
      </c>
      <c r="J707" t="s">
        <v>26</v>
      </c>
      <c r="K707" t="s">
        <v>27</v>
      </c>
      <c r="L707" t="s">
        <v>329</v>
      </c>
      <c r="M707" t="s">
        <v>166</v>
      </c>
      <c r="N707" t="s">
        <v>64</v>
      </c>
      <c r="O707" t="s">
        <v>31</v>
      </c>
      <c r="P707" t="s">
        <v>301</v>
      </c>
      <c r="Q707" t="s">
        <v>359</v>
      </c>
      <c r="R707" t="s">
        <v>1443</v>
      </c>
      <c r="S707" t="s">
        <v>1885</v>
      </c>
    </row>
    <row r="708" ht="55" customHeight="1" spans="1:19">
      <c r="A708" s="1" t="str">
        <f>_xlfn.DISPIMG("ID_290341EAEF314FE1B38AAF5DFCFEC567",1)</f>
        <v>=DISPIMG("ID_290341EAEF314FE1B38AAF5DFCFEC567",1)</v>
      </c>
      <c r="B708" t="s">
        <v>257</v>
      </c>
      <c r="C708" t="s">
        <v>430</v>
      </c>
      <c r="D708" t="s">
        <v>272</v>
      </c>
      <c r="E708" t="s">
        <v>144</v>
      </c>
      <c r="F708" t="s">
        <v>51</v>
      </c>
      <c r="G708" t="s">
        <v>229</v>
      </c>
      <c r="H708" t="s">
        <v>144</v>
      </c>
      <c r="I708" t="s">
        <v>25</v>
      </c>
      <c r="J708" t="s">
        <v>26</v>
      </c>
      <c r="K708" t="s">
        <v>27</v>
      </c>
      <c r="L708" t="s">
        <v>74</v>
      </c>
      <c r="M708" t="s">
        <v>29</v>
      </c>
      <c r="N708" t="s">
        <v>30</v>
      </c>
      <c r="O708" t="s">
        <v>31</v>
      </c>
      <c r="P708" t="s">
        <v>1886</v>
      </c>
      <c r="Q708" t="s">
        <v>76</v>
      </c>
      <c r="R708" t="s">
        <v>263</v>
      </c>
      <c r="S708" t="s">
        <v>1887</v>
      </c>
    </row>
    <row r="709" ht="55" customHeight="1" spans="1:19">
      <c r="A709" s="1" t="str">
        <f>_xlfn.DISPIMG("ID_75F3E05FABE54A37A6CF52F2950ECA83",1)</f>
        <v>=DISPIMG("ID_75F3E05FABE54A37A6CF52F2950ECA83",1)</v>
      </c>
      <c r="B709" t="s">
        <v>125</v>
      </c>
      <c r="C709" t="s">
        <v>1025</v>
      </c>
      <c r="D709" t="s">
        <v>349</v>
      </c>
      <c r="E709" t="s">
        <v>461</v>
      </c>
      <c r="F709" t="s">
        <v>91</v>
      </c>
      <c r="G709" t="s">
        <v>41</v>
      </c>
      <c r="H709" t="s">
        <v>461</v>
      </c>
      <c r="I709" t="s">
        <v>42</v>
      </c>
      <c r="J709" t="s">
        <v>26</v>
      </c>
      <c r="K709" t="s">
        <v>27</v>
      </c>
      <c r="L709" t="s">
        <v>28</v>
      </c>
      <c r="M709" t="s">
        <v>93</v>
      </c>
      <c r="N709" t="s">
        <v>30</v>
      </c>
      <c r="O709" t="s">
        <v>31</v>
      </c>
      <c r="P709" t="s">
        <v>857</v>
      </c>
      <c r="Q709" t="s">
        <v>1629</v>
      </c>
      <c r="R709" t="s">
        <v>130</v>
      </c>
      <c r="S709" t="s">
        <v>1888</v>
      </c>
    </row>
    <row r="710" ht="55" customHeight="1" spans="1:19">
      <c r="A710" s="1" t="str">
        <f>_xlfn.DISPIMG("ID_23A1B07254AD4ED5B91552BC858F7B0A",1)</f>
        <v>=DISPIMG("ID_23A1B07254AD4ED5B91552BC858F7B0A",1)</v>
      </c>
      <c r="B710" t="s">
        <v>242</v>
      </c>
      <c r="C710" t="s">
        <v>1889</v>
      </c>
      <c r="D710" t="s">
        <v>375</v>
      </c>
      <c r="E710" t="s">
        <v>486</v>
      </c>
      <c r="F710" t="s">
        <v>245</v>
      </c>
      <c r="G710" t="s">
        <v>724</v>
      </c>
      <c r="H710" t="s">
        <v>1423</v>
      </c>
      <c r="I710" t="s">
        <v>165</v>
      </c>
      <c r="J710" t="s">
        <v>26</v>
      </c>
      <c r="K710" t="s">
        <v>27</v>
      </c>
      <c r="L710" t="s">
        <v>231</v>
      </c>
      <c r="M710" t="s">
        <v>93</v>
      </c>
      <c r="N710" t="s">
        <v>64</v>
      </c>
      <c r="O710" t="s">
        <v>31</v>
      </c>
      <c r="P710" t="s">
        <v>1890</v>
      </c>
      <c r="Q710" t="s">
        <v>427</v>
      </c>
      <c r="R710" t="s">
        <v>249</v>
      </c>
      <c r="S710" t="s">
        <v>1891</v>
      </c>
    </row>
    <row r="711" ht="55" customHeight="1" spans="1:19">
      <c r="A711" s="1" t="str">
        <f>_xlfn.DISPIMG("ID_67AC46D6FDD2493094A9C40742438704",1)</f>
        <v>=DISPIMG("ID_67AC46D6FDD2493094A9C40742438704",1)</v>
      </c>
      <c r="B711" t="s">
        <v>1101</v>
      </c>
      <c r="C711" t="s">
        <v>1892</v>
      </c>
      <c r="D711" t="s">
        <v>556</v>
      </c>
      <c r="E711" t="s">
        <v>72</v>
      </c>
      <c r="F711" t="s">
        <v>40</v>
      </c>
      <c r="G711" t="s">
        <v>740</v>
      </c>
      <c r="H711" t="s">
        <v>72</v>
      </c>
      <c r="I711" t="s">
        <v>42</v>
      </c>
      <c r="J711" t="s">
        <v>26</v>
      </c>
      <c r="K711" t="s">
        <v>27</v>
      </c>
      <c r="L711" t="s">
        <v>74</v>
      </c>
      <c r="M711" t="s">
        <v>29</v>
      </c>
      <c r="N711" t="s">
        <v>30</v>
      </c>
      <c r="O711" t="s">
        <v>31</v>
      </c>
      <c r="P711" t="s">
        <v>138</v>
      </c>
      <c r="Q711" t="s">
        <v>795</v>
      </c>
      <c r="R711" t="s">
        <v>45</v>
      </c>
      <c r="S711" t="s">
        <v>1893</v>
      </c>
    </row>
    <row r="712" ht="55" customHeight="1" spans="1:19">
      <c r="A712" s="1" t="str">
        <f>_xlfn.DISPIMG("ID_226735B6DA804ADE9BFDC0037476AD6C",1)</f>
        <v>=DISPIMG("ID_226735B6DA804ADE9BFDC0037476AD6C",1)</v>
      </c>
      <c r="B712" t="s">
        <v>242</v>
      </c>
      <c r="C712" t="s">
        <v>560</v>
      </c>
      <c r="D712" t="s">
        <v>368</v>
      </c>
      <c r="E712" t="s">
        <v>135</v>
      </c>
      <c r="F712" t="s">
        <v>245</v>
      </c>
      <c r="G712" t="s">
        <v>1894</v>
      </c>
      <c r="H712" t="s">
        <v>445</v>
      </c>
      <c r="I712" t="s">
        <v>165</v>
      </c>
      <c r="J712" t="s">
        <v>26</v>
      </c>
      <c r="K712" t="s">
        <v>27</v>
      </c>
      <c r="L712" t="s">
        <v>231</v>
      </c>
      <c r="M712" t="s">
        <v>93</v>
      </c>
      <c r="N712" t="s">
        <v>30</v>
      </c>
      <c r="O712" t="s">
        <v>31</v>
      </c>
      <c r="P712" t="s">
        <v>247</v>
      </c>
      <c r="Q712" t="s">
        <v>539</v>
      </c>
      <c r="R712" t="s">
        <v>249</v>
      </c>
      <c r="S712" t="s">
        <v>1895</v>
      </c>
    </row>
    <row r="713" ht="55" customHeight="1" spans="1:19">
      <c r="A713" s="1" t="str">
        <f>_xlfn.DISPIMG("ID_EB6AC55C175A48AC99811177C9B98D1F",1)</f>
        <v>=DISPIMG("ID_EB6AC55C175A48AC99811177C9B98D1F",1)</v>
      </c>
      <c r="B713" t="s">
        <v>1896</v>
      </c>
      <c r="C713" t="s">
        <v>1617</v>
      </c>
      <c r="D713" t="s">
        <v>118</v>
      </c>
      <c r="E713" t="s">
        <v>119</v>
      </c>
      <c r="F713" t="s">
        <v>40</v>
      </c>
      <c r="G713" t="s">
        <v>216</v>
      </c>
      <c r="H713" t="s">
        <v>119</v>
      </c>
      <c r="I713" t="s">
        <v>25</v>
      </c>
      <c r="J713" t="s">
        <v>26</v>
      </c>
      <c r="K713" t="s">
        <v>27</v>
      </c>
      <c r="L713" t="s">
        <v>231</v>
      </c>
      <c r="M713" t="s">
        <v>29</v>
      </c>
      <c r="N713" t="s">
        <v>30</v>
      </c>
      <c r="O713" t="s">
        <v>31</v>
      </c>
      <c r="P713" t="s">
        <v>112</v>
      </c>
      <c r="Q713" t="s">
        <v>55</v>
      </c>
      <c r="R713" t="s">
        <v>526</v>
      </c>
      <c r="S713" t="s">
        <v>1897</v>
      </c>
    </row>
    <row r="714" ht="55" customHeight="1" spans="1:19">
      <c r="A714" s="1" t="str">
        <f>_xlfn.DISPIMG("ID_B7A4FB68960748C7AF7DA1499D5F0593",1)</f>
        <v>=DISPIMG("ID_B7A4FB68960748C7AF7DA1499D5F0593",1)</v>
      </c>
      <c r="B714" t="s">
        <v>282</v>
      </c>
      <c r="C714" t="s">
        <v>564</v>
      </c>
      <c r="D714" t="s">
        <v>865</v>
      </c>
      <c r="E714" t="s">
        <v>204</v>
      </c>
      <c r="F714" t="s">
        <v>40</v>
      </c>
      <c r="G714" t="s">
        <v>306</v>
      </c>
      <c r="H714" t="s">
        <v>72</v>
      </c>
      <c r="I714" t="s">
        <v>42</v>
      </c>
      <c r="J714" t="s">
        <v>26</v>
      </c>
      <c r="K714" t="s">
        <v>27</v>
      </c>
      <c r="L714" t="s">
        <v>28</v>
      </c>
      <c r="M714" t="s">
        <v>29</v>
      </c>
      <c r="N714" t="s">
        <v>30</v>
      </c>
      <c r="O714" t="s">
        <v>31</v>
      </c>
      <c r="P714" t="s">
        <v>75</v>
      </c>
      <c r="Q714" t="s">
        <v>129</v>
      </c>
      <c r="R714" t="s">
        <v>45</v>
      </c>
      <c r="S714" t="s">
        <v>1898</v>
      </c>
    </row>
    <row r="715" ht="55" customHeight="1" spans="1:19">
      <c r="A715" s="1" t="str">
        <f>_xlfn.DISPIMG("ID_515F274A06EA455A90888D0AB637FA9B",1)</f>
        <v>=DISPIMG("ID_515F274A06EA455A90888D0AB637FA9B",1)</v>
      </c>
      <c r="B715" t="s">
        <v>504</v>
      </c>
      <c r="C715" t="s">
        <v>1156</v>
      </c>
      <c r="D715" t="s">
        <v>991</v>
      </c>
      <c r="E715" t="s">
        <v>413</v>
      </c>
      <c r="F715" t="s">
        <v>401</v>
      </c>
      <c r="G715" t="s">
        <v>127</v>
      </c>
      <c r="H715" t="s">
        <v>100</v>
      </c>
      <c r="I715" t="s">
        <v>175</v>
      </c>
      <c r="J715" t="s">
        <v>26</v>
      </c>
      <c r="K715" t="s">
        <v>27</v>
      </c>
      <c r="L715" t="s">
        <v>28</v>
      </c>
      <c r="M715" t="s">
        <v>403</v>
      </c>
      <c r="N715" t="s">
        <v>30</v>
      </c>
      <c r="O715" t="s">
        <v>404</v>
      </c>
      <c r="P715" t="s">
        <v>75</v>
      </c>
      <c r="Q715" t="s">
        <v>113</v>
      </c>
      <c r="R715" t="s">
        <v>1899</v>
      </c>
      <c r="S715" t="s">
        <v>1900</v>
      </c>
    </row>
    <row r="716" ht="55" customHeight="1" spans="1:19">
      <c r="A716" s="1" t="str">
        <f>_xlfn.DISPIMG("ID_31E2D6C9C7914702845847A28431CFE8",1)</f>
        <v>=DISPIMG("ID_31E2D6C9C7914702845847A28431CFE8",1)</v>
      </c>
      <c r="B716" t="s">
        <v>242</v>
      </c>
      <c r="C716" t="s">
        <v>591</v>
      </c>
      <c r="D716" t="s">
        <v>143</v>
      </c>
      <c r="E716" t="s">
        <v>144</v>
      </c>
      <c r="F716" t="s">
        <v>245</v>
      </c>
      <c r="G716" t="s">
        <v>83</v>
      </c>
      <c r="H716" t="s">
        <v>144</v>
      </c>
      <c r="I716" t="s">
        <v>165</v>
      </c>
      <c r="J716" t="s">
        <v>26</v>
      </c>
      <c r="K716" t="s">
        <v>27</v>
      </c>
      <c r="L716" t="s">
        <v>557</v>
      </c>
      <c r="M716" t="s">
        <v>93</v>
      </c>
      <c r="N716" t="s">
        <v>30</v>
      </c>
      <c r="O716" t="s">
        <v>31</v>
      </c>
      <c r="P716" t="s">
        <v>182</v>
      </c>
      <c r="Q716" t="s">
        <v>190</v>
      </c>
      <c r="R716" t="s">
        <v>249</v>
      </c>
      <c r="S716" t="s">
        <v>1901</v>
      </c>
    </row>
    <row r="717" ht="55" customHeight="1" spans="1:19">
      <c r="A717" s="1" t="str">
        <f>_xlfn.DISPIMG("ID_0F6DB889802B42CFA2B4030AC37AECDF",1)</f>
        <v>=DISPIMG("ID_0F6DB889802B42CFA2B4030AC37AECDF",1)</v>
      </c>
      <c r="B717" t="s">
        <v>116</v>
      </c>
      <c r="C717" t="s">
        <v>1902</v>
      </c>
      <c r="D717" t="s">
        <v>552</v>
      </c>
      <c r="E717" t="s">
        <v>507</v>
      </c>
      <c r="F717" t="s">
        <v>40</v>
      </c>
      <c r="G717" t="s">
        <v>387</v>
      </c>
      <c r="H717" t="s">
        <v>135</v>
      </c>
      <c r="I717" t="s">
        <v>42</v>
      </c>
      <c r="J717" t="s">
        <v>26</v>
      </c>
      <c r="K717" t="s">
        <v>27</v>
      </c>
      <c r="L717" t="s">
        <v>53</v>
      </c>
      <c r="M717" t="s">
        <v>29</v>
      </c>
      <c r="N717" t="s">
        <v>30</v>
      </c>
      <c r="O717" t="s">
        <v>31</v>
      </c>
      <c r="P717" t="s">
        <v>75</v>
      </c>
      <c r="Q717" t="s">
        <v>167</v>
      </c>
      <c r="R717" t="s">
        <v>1903</v>
      </c>
      <c r="S717" t="s">
        <v>1904</v>
      </c>
    </row>
    <row r="718" ht="55" customHeight="1" spans="1:19">
      <c r="A718" s="1" t="str">
        <f>_xlfn.DISPIMG("ID_5F92B0581980476993A647253ABAFC8A",1)</f>
        <v>=DISPIMG("ID_5F92B0581980476993A647253ABAFC8A",1)</v>
      </c>
      <c r="B718" t="s">
        <v>242</v>
      </c>
      <c r="C718" t="s">
        <v>126</v>
      </c>
      <c r="D718" t="s">
        <v>368</v>
      </c>
      <c r="E718" t="s">
        <v>135</v>
      </c>
      <c r="F718" t="s">
        <v>245</v>
      </c>
      <c r="G718" t="s">
        <v>582</v>
      </c>
      <c r="H718" t="s">
        <v>135</v>
      </c>
      <c r="I718" t="s">
        <v>165</v>
      </c>
      <c r="J718" t="s">
        <v>26</v>
      </c>
      <c r="K718" t="s">
        <v>27</v>
      </c>
      <c r="L718" t="s">
        <v>28</v>
      </c>
      <c r="M718" t="s">
        <v>93</v>
      </c>
      <c r="N718" t="s">
        <v>30</v>
      </c>
      <c r="O718" t="s">
        <v>31</v>
      </c>
      <c r="P718" t="s">
        <v>414</v>
      </c>
      <c r="Q718" t="s">
        <v>539</v>
      </c>
      <c r="R718" t="s">
        <v>249</v>
      </c>
      <c r="S718" t="s">
        <v>1905</v>
      </c>
    </row>
    <row r="719" ht="55" customHeight="1" spans="1:19">
      <c r="A719" s="1" t="str">
        <f>_xlfn.DISPIMG("ID_FAEE3F01F6714BA5A4C60519B14229BF",1)</f>
        <v>=DISPIMG("ID_FAEE3F01F6714BA5A4C60519B14229BF",1)</v>
      </c>
      <c r="B719" t="s">
        <v>236</v>
      </c>
      <c r="C719" t="s">
        <v>1906</v>
      </c>
      <c r="D719" t="s">
        <v>315</v>
      </c>
      <c r="E719" t="s">
        <v>316</v>
      </c>
      <c r="F719" t="s">
        <v>51</v>
      </c>
      <c r="G719" t="s">
        <v>1907</v>
      </c>
      <c r="H719" t="s">
        <v>144</v>
      </c>
      <c r="I719" t="s">
        <v>42</v>
      </c>
      <c r="J719" t="s">
        <v>26</v>
      </c>
      <c r="K719" t="s">
        <v>27</v>
      </c>
      <c r="L719" t="s">
        <v>74</v>
      </c>
      <c r="M719" t="s">
        <v>29</v>
      </c>
      <c r="N719" t="s">
        <v>30</v>
      </c>
      <c r="O719" t="s">
        <v>31</v>
      </c>
      <c r="P719" t="s">
        <v>54</v>
      </c>
      <c r="Q719" t="s">
        <v>122</v>
      </c>
      <c r="R719" t="s">
        <v>104</v>
      </c>
      <c r="S719" t="s">
        <v>1908</v>
      </c>
    </row>
    <row r="720" ht="55" customHeight="1" spans="1:19">
      <c r="A720" s="1" t="str">
        <f>_xlfn.DISPIMG("ID_4EB2E6EF315C4161AD87D5C7672CE63C",1)</f>
        <v>=DISPIMG("ID_4EB2E6EF315C4161AD87D5C7672CE63C",1)</v>
      </c>
      <c r="B720" t="s">
        <v>116</v>
      </c>
      <c r="C720" t="s">
        <v>611</v>
      </c>
      <c r="D720" t="s">
        <v>973</v>
      </c>
      <c r="E720" t="s">
        <v>238</v>
      </c>
      <c r="F720" t="s">
        <v>40</v>
      </c>
      <c r="G720" t="s">
        <v>444</v>
      </c>
      <c r="H720" t="s">
        <v>238</v>
      </c>
      <c r="I720" t="s">
        <v>42</v>
      </c>
      <c r="J720" t="s">
        <v>26</v>
      </c>
      <c r="K720" t="s">
        <v>27</v>
      </c>
      <c r="L720" t="s">
        <v>74</v>
      </c>
      <c r="M720" t="s">
        <v>29</v>
      </c>
      <c r="N720" t="s">
        <v>64</v>
      </c>
      <c r="O720" t="s">
        <v>31</v>
      </c>
      <c r="P720" t="s">
        <v>857</v>
      </c>
      <c r="Q720" t="s">
        <v>307</v>
      </c>
      <c r="R720" t="s">
        <v>45</v>
      </c>
      <c r="S720" t="s">
        <v>1909</v>
      </c>
    </row>
    <row r="721" ht="55" customHeight="1" spans="1:19">
      <c r="A721" s="1" t="str">
        <f>_xlfn.DISPIMG("ID_E6FC942781EE49679F0F52EA358ED2F7",1)</f>
        <v>=DISPIMG("ID_E6FC942781EE49679F0F52EA358ED2F7",1)</v>
      </c>
      <c r="B721" t="s">
        <v>1910</v>
      </c>
      <c r="C721" t="s">
        <v>510</v>
      </c>
      <c r="D721" t="s">
        <v>460</v>
      </c>
      <c r="E721" t="s">
        <v>84</v>
      </c>
      <c r="F721" t="s">
        <v>162</v>
      </c>
      <c r="G721" t="s">
        <v>431</v>
      </c>
      <c r="H721" t="s">
        <v>84</v>
      </c>
      <c r="I721" t="s">
        <v>175</v>
      </c>
      <c r="J721" t="s">
        <v>26</v>
      </c>
      <c r="K721" t="s">
        <v>27</v>
      </c>
      <c r="L721" t="s">
        <v>28</v>
      </c>
      <c r="M721" t="s">
        <v>166</v>
      </c>
      <c r="N721" t="s">
        <v>30</v>
      </c>
      <c r="O721" t="s">
        <v>31</v>
      </c>
      <c r="P721" t="s">
        <v>154</v>
      </c>
      <c r="Q721" t="s">
        <v>656</v>
      </c>
      <c r="R721" t="s">
        <v>234</v>
      </c>
      <c r="S721" t="s">
        <v>1911</v>
      </c>
    </row>
    <row r="722" ht="55" customHeight="1" spans="1:19">
      <c r="A722" s="1" t="str">
        <f>_xlfn.DISPIMG("ID_49C42BB960B144739764ECE3FFBBEF90",1)</f>
        <v>=DISPIMG("ID_49C42BB960B144739764ECE3FFBBEF90",1)</v>
      </c>
      <c r="B722" t="s">
        <v>257</v>
      </c>
      <c r="C722" t="s">
        <v>873</v>
      </c>
      <c r="D722" t="s">
        <v>267</v>
      </c>
      <c r="E722" t="s">
        <v>739</v>
      </c>
      <c r="F722" t="s">
        <v>51</v>
      </c>
      <c r="G722" t="s">
        <v>942</v>
      </c>
      <c r="H722" t="s">
        <v>739</v>
      </c>
      <c r="I722" t="s">
        <v>25</v>
      </c>
      <c r="J722" t="s">
        <v>26</v>
      </c>
      <c r="K722" t="s">
        <v>27</v>
      </c>
      <c r="L722" t="s">
        <v>74</v>
      </c>
      <c r="M722" t="s">
        <v>29</v>
      </c>
      <c r="N722" t="s">
        <v>30</v>
      </c>
      <c r="O722" t="s">
        <v>31</v>
      </c>
      <c r="P722" t="s">
        <v>75</v>
      </c>
      <c r="Q722" t="s">
        <v>553</v>
      </c>
      <c r="R722" t="s">
        <v>147</v>
      </c>
      <c r="S722" t="s">
        <v>1912</v>
      </c>
    </row>
    <row r="723" ht="55" customHeight="1" spans="1:19">
      <c r="A723" s="1" t="str">
        <f>_xlfn.DISPIMG("ID_57E2F7A6A13A428EADD80234B673D6CC",1)</f>
        <v>=DISPIMG("ID_57E2F7A6A13A428EADD80234B673D6CC",1)</v>
      </c>
      <c r="B723" t="s">
        <v>629</v>
      </c>
      <c r="C723" t="s">
        <v>1156</v>
      </c>
      <c r="D723" t="s">
        <v>973</v>
      </c>
      <c r="E723" t="s">
        <v>1319</v>
      </c>
      <c r="F723" t="s">
        <v>91</v>
      </c>
      <c r="G723" t="s">
        <v>1615</v>
      </c>
      <c r="H723" t="s">
        <v>518</v>
      </c>
      <c r="I723" t="s">
        <v>175</v>
      </c>
      <c r="J723" t="s">
        <v>26</v>
      </c>
      <c r="K723" t="s">
        <v>27</v>
      </c>
      <c r="L723" t="s">
        <v>28</v>
      </c>
      <c r="M723" t="s">
        <v>93</v>
      </c>
      <c r="N723" t="s">
        <v>30</v>
      </c>
      <c r="O723" t="s">
        <v>31</v>
      </c>
      <c r="P723" t="s">
        <v>301</v>
      </c>
      <c r="Q723" t="s">
        <v>297</v>
      </c>
      <c r="R723" t="s">
        <v>1745</v>
      </c>
      <c r="S723" t="s">
        <v>1913</v>
      </c>
    </row>
    <row r="724" ht="55" customHeight="1" spans="1:19">
      <c r="A724" s="1" t="str">
        <f>_xlfn.DISPIMG("ID_5D0642D839964362BB3374DF9579A603",1)</f>
        <v>=DISPIMG("ID_5D0642D839964362BB3374DF9579A603",1)</v>
      </c>
      <c r="B724" t="s">
        <v>1914</v>
      </c>
      <c r="C724" t="s">
        <v>720</v>
      </c>
      <c r="D724" t="s">
        <v>511</v>
      </c>
      <c r="E724" t="s">
        <v>204</v>
      </c>
      <c r="F724" t="s">
        <v>519</v>
      </c>
      <c r="G724" t="s">
        <v>431</v>
      </c>
      <c r="H724" t="s">
        <v>72</v>
      </c>
      <c r="I724" t="s">
        <v>487</v>
      </c>
      <c r="J724" t="s">
        <v>26</v>
      </c>
      <c r="K724" t="s">
        <v>27</v>
      </c>
      <c r="L724" t="s">
        <v>28</v>
      </c>
      <c r="M724" t="s">
        <v>29</v>
      </c>
      <c r="N724" t="s">
        <v>30</v>
      </c>
      <c r="O724" t="s">
        <v>31</v>
      </c>
      <c r="P724" t="s">
        <v>463</v>
      </c>
      <c r="Q724" t="s">
        <v>636</v>
      </c>
      <c r="R724" t="s">
        <v>1915</v>
      </c>
      <c r="S724" t="s">
        <v>1916</v>
      </c>
    </row>
    <row r="725" ht="55" customHeight="1" spans="1:19">
      <c r="A725" s="1" t="str">
        <f>_xlfn.DISPIMG("ID_490AEF031F6146EEB981BA2A72075BB8",1)</f>
        <v>=DISPIMG("ID_490AEF031F6146EEB981BA2A72075BB8",1)</v>
      </c>
      <c r="B725" t="s">
        <v>1917</v>
      </c>
      <c r="C725" t="s">
        <v>430</v>
      </c>
      <c r="D725" t="s">
        <v>1391</v>
      </c>
      <c r="E725" t="s">
        <v>72</v>
      </c>
      <c r="F725" t="s">
        <v>51</v>
      </c>
      <c r="G725" t="s">
        <v>174</v>
      </c>
      <c r="H725" t="s">
        <v>72</v>
      </c>
      <c r="I725" t="s">
        <v>25</v>
      </c>
      <c r="J725" t="s">
        <v>26</v>
      </c>
      <c r="K725" t="s">
        <v>27</v>
      </c>
      <c r="L725" t="s">
        <v>74</v>
      </c>
      <c r="M725" t="s">
        <v>29</v>
      </c>
      <c r="N725" t="s">
        <v>30</v>
      </c>
      <c r="O725" t="s">
        <v>153</v>
      </c>
      <c r="P725" t="s">
        <v>285</v>
      </c>
      <c r="Q725" t="s">
        <v>44</v>
      </c>
      <c r="R725" t="s">
        <v>1918</v>
      </c>
      <c r="S725" t="s">
        <v>1919</v>
      </c>
    </row>
    <row r="726" ht="55" customHeight="1" spans="1:19">
      <c r="A726" s="1" t="str">
        <f>_xlfn.DISPIMG("ID_DAE79000CBA24D7D8875A3CEF9005AD7",1)</f>
        <v>=DISPIMG("ID_DAE79000CBA24D7D8875A3CEF9005AD7",1)</v>
      </c>
      <c r="B726" t="s">
        <v>132</v>
      </c>
      <c r="C726" t="s">
        <v>648</v>
      </c>
      <c r="D726" t="s">
        <v>134</v>
      </c>
      <c r="E726" t="s">
        <v>135</v>
      </c>
      <c r="F726" t="s">
        <v>91</v>
      </c>
      <c r="G726" t="s">
        <v>41</v>
      </c>
      <c r="H726" t="s">
        <v>135</v>
      </c>
      <c r="I726" t="s">
        <v>137</v>
      </c>
      <c r="J726" t="s">
        <v>26</v>
      </c>
      <c r="K726" t="s">
        <v>27</v>
      </c>
      <c r="L726" t="s">
        <v>28</v>
      </c>
      <c r="M726" t="s">
        <v>93</v>
      </c>
      <c r="N726" t="s">
        <v>30</v>
      </c>
      <c r="O726" t="s">
        <v>31</v>
      </c>
      <c r="P726" t="s">
        <v>182</v>
      </c>
      <c r="Q726" t="s">
        <v>76</v>
      </c>
      <c r="R726" t="s">
        <v>139</v>
      </c>
      <c r="S726" t="s">
        <v>1920</v>
      </c>
    </row>
    <row r="727" ht="55" customHeight="1" spans="1:19">
      <c r="A727" s="1" t="str">
        <f>_xlfn.DISPIMG("ID_0F539FC5A9CC47948AB2B08328F4F57A",1)</f>
        <v>=DISPIMG("ID_0F539FC5A9CC47948AB2B08328F4F57A",1)</v>
      </c>
      <c r="B727" t="s">
        <v>1921</v>
      </c>
      <c r="C727" t="s">
        <v>1255</v>
      </c>
      <c r="D727" t="s">
        <v>143</v>
      </c>
      <c r="E727" t="s">
        <v>144</v>
      </c>
      <c r="F727" t="s">
        <v>40</v>
      </c>
      <c r="G727" t="s">
        <v>1922</v>
      </c>
      <c r="H727" t="s">
        <v>641</v>
      </c>
      <c r="I727" t="s">
        <v>175</v>
      </c>
      <c r="J727" t="s">
        <v>26</v>
      </c>
      <c r="K727" t="s">
        <v>27</v>
      </c>
      <c r="L727" t="s">
        <v>231</v>
      </c>
      <c r="M727" t="s">
        <v>29</v>
      </c>
      <c r="N727" t="s">
        <v>64</v>
      </c>
      <c r="O727" t="s">
        <v>31</v>
      </c>
      <c r="P727" t="s">
        <v>965</v>
      </c>
      <c r="Q727" t="s">
        <v>388</v>
      </c>
      <c r="R727" t="s">
        <v>336</v>
      </c>
      <c r="S727" t="s">
        <v>1923</v>
      </c>
    </row>
    <row r="728" ht="55" customHeight="1" spans="1:19">
      <c r="A728" s="1" t="str">
        <f>_xlfn.DISPIMG("ID_D58CE3748A454EF6B2DC4FF605FF34CB",1)</f>
        <v>=DISPIMG("ID_D58CE3748A454EF6B2DC4FF605FF34CB",1)</v>
      </c>
      <c r="B728" t="s">
        <v>366</v>
      </c>
      <c r="C728" t="s">
        <v>1332</v>
      </c>
      <c r="D728" t="s">
        <v>466</v>
      </c>
      <c r="E728" t="s">
        <v>50</v>
      </c>
      <c r="F728" t="s">
        <v>245</v>
      </c>
      <c r="G728" t="s">
        <v>747</v>
      </c>
      <c r="H728" t="s">
        <v>50</v>
      </c>
      <c r="I728" t="s">
        <v>165</v>
      </c>
      <c r="J728" t="s">
        <v>26</v>
      </c>
      <c r="K728" t="s">
        <v>27</v>
      </c>
      <c r="L728" t="s">
        <v>557</v>
      </c>
      <c r="M728" t="s">
        <v>93</v>
      </c>
      <c r="N728" t="s">
        <v>30</v>
      </c>
      <c r="O728" t="s">
        <v>31</v>
      </c>
      <c r="P728" t="s">
        <v>154</v>
      </c>
      <c r="Q728" t="s">
        <v>297</v>
      </c>
      <c r="R728" t="s">
        <v>370</v>
      </c>
      <c r="S728" t="s">
        <v>1924</v>
      </c>
    </row>
    <row r="729" ht="55" customHeight="1" spans="1:19">
      <c r="A729" s="1" t="str">
        <f>_xlfn.DISPIMG("ID_96A0742E61DB4B83878F92DEAD944826",1)</f>
        <v>=DISPIMG("ID_96A0742E61DB4B83878F92DEAD944826",1)</v>
      </c>
      <c r="B729" t="s">
        <v>58</v>
      </c>
      <c r="C729" t="s">
        <v>1862</v>
      </c>
      <c r="D729" t="s">
        <v>991</v>
      </c>
      <c r="E729" t="s">
        <v>1618</v>
      </c>
      <c r="F729" t="s">
        <v>51</v>
      </c>
      <c r="G729" t="s">
        <v>835</v>
      </c>
      <c r="H729" t="s">
        <v>486</v>
      </c>
      <c r="I729" t="s">
        <v>42</v>
      </c>
      <c r="J729" t="s">
        <v>26</v>
      </c>
      <c r="K729" t="s">
        <v>27</v>
      </c>
      <c r="L729" t="s">
        <v>28</v>
      </c>
      <c r="M729" t="s">
        <v>29</v>
      </c>
      <c r="N729" t="s">
        <v>30</v>
      </c>
      <c r="O729" t="s">
        <v>31</v>
      </c>
      <c r="P729" t="s">
        <v>698</v>
      </c>
      <c r="Q729" t="s">
        <v>55</v>
      </c>
      <c r="R729" t="s">
        <v>409</v>
      </c>
      <c r="S729" t="s">
        <v>1925</v>
      </c>
    </row>
    <row r="730" ht="55" customHeight="1" spans="1:19">
      <c r="A730" s="1" t="str">
        <f>_xlfn.DISPIMG("ID_9F5A594DF09F47FEB69C5EDE24F1FE55",1)</f>
        <v>=DISPIMG("ID_9F5A594DF09F47FEB69C5EDE24F1FE55",1)</v>
      </c>
      <c r="B730" t="s">
        <v>1926</v>
      </c>
      <c r="C730" t="s">
        <v>1927</v>
      </c>
      <c r="D730" t="s">
        <v>1928</v>
      </c>
      <c r="E730" t="s">
        <v>111</v>
      </c>
      <c r="F730" t="s">
        <v>999</v>
      </c>
      <c r="G730" t="s">
        <v>1214</v>
      </c>
      <c r="H730" t="s">
        <v>111</v>
      </c>
      <c r="I730" t="s">
        <v>137</v>
      </c>
      <c r="J730" t="s">
        <v>26</v>
      </c>
      <c r="K730" t="s">
        <v>27</v>
      </c>
      <c r="L730" t="s">
        <v>74</v>
      </c>
      <c r="M730" t="s">
        <v>29</v>
      </c>
      <c r="N730" t="s">
        <v>64</v>
      </c>
      <c r="O730" t="s">
        <v>31</v>
      </c>
      <c r="P730" t="s">
        <v>1643</v>
      </c>
      <c r="Q730" t="s">
        <v>795</v>
      </c>
      <c r="R730" t="s">
        <v>981</v>
      </c>
      <c r="S730" t="s">
        <v>1929</v>
      </c>
    </row>
    <row r="731" ht="55" customHeight="1" spans="1:19">
      <c r="A731" s="1" t="str">
        <f>_xlfn.DISPIMG("ID_E4E6C62B965444848D6A28D9597B45DF",1)</f>
        <v>=DISPIMG("ID_E4E6C62B965444848D6A28D9597B45DF",1)</v>
      </c>
      <c r="B731" t="s">
        <v>88</v>
      </c>
      <c r="C731" t="s">
        <v>430</v>
      </c>
      <c r="D731" t="s">
        <v>71</v>
      </c>
      <c r="E731" t="s">
        <v>72</v>
      </c>
      <c r="F731" t="s">
        <v>91</v>
      </c>
      <c r="G731" t="s">
        <v>431</v>
      </c>
      <c r="H731" t="s">
        <v>72</v>
      </c>
      <c r="I731" t="s">
        <v>25</v>
      </c>
      <c r="J731" t="s">
        <v>26</v>
      </c>
      <c r="K731" t="s">
        <v>27</v>
      </c>
      <c r="L731" t="s">
        <v>28</v>
      </c>
      <c r="M731" t="s">
        <v>93</v>
      </c>
      <c r="N731" t="s">
        <v>64</v>
      </c>
      <c r="O731" t="s">
        <v>31</v>
      </c>
      <c r="P731" t="s">
        <v>128</v>
      </c>
      <c r="Q731" t="s">
        <v>33</v>
      </c>
      <c r="R731" t="s">
        <v>95</v>
      </c>
      <c r="S731" t="s">
        <v>1930</v>
      </c>
    </row>
    <row r="732" ht="55" customHeight="1" spans="1:19">
      <c r="A732" s="1" t="str">
        <f>_xlfn.DISPIMG("ID_6993D3D3E9BF4A59AD3EA3A72EE8891E",1)</f>
        <v>=DISPIMG("ID_6993D3D3E9BF4A59AD3EA3A72EE8891E",1)</v>
      </c>
      <c r="B732" t="s">
        <v>366</v>
      </c>
      <c r="C732" t="s">
        <v>258</v>
      </c>
      <c r="D732" t="s">
        <v>466</v>
      </c>
      <c r="E732" t="s">
        <v>50</v>
      </c>
      <c r="F732" t="s">
        <v>245</v>
      </c>
      <c r="G732" t="s">
        <v>582</v>
      </c>
      <c r="H732" t="s">
        <v>50</v>
      </c>
      <c r="I732" t="s">
        <v>165</v>
      </c>
      <c r="J732" t="s">
        <v>26</v>
      </c>
      <c r="K732" t="s">
        <v>27</v>
      </c>
      <c r="L732" t="s">
        <v>74</v>
      </c>
      <c r="M732" t="s">
        <v>93</v>
      </c>
      <c r="N732" t="s">
        <v>30</v>
      </c>
      <c r="O732" t="s">
        <v>31</v>
      </c>
      <c r="P732" t="s">
        <v>154</v>
      </c>
      <c r="Q732" t="s">
        <v>55</v>
      </c>
      <c r="R732" t="s">
        <v>370</v>
      </c>
      <c r="S732" t="s">
        <v>1931</v>
      </c>
    </row>
    <row r="733" ht="55" customHeight="1" spans="1:19">
      <c r="A733" s="1" t="str">
        <f>_xlfn.DISPIMG("ID_BB0933245B3A4B559C79729DD4958D69",1)</f>
        <v>=DISPIMG("ID_BB0933245B3A4B559C79729DD4958D69",1)</v>
      </c>
      <c r="B733" t="s">
        <v>439</v>
      </c>
      <c r="C733" t="s">
        <v>278</v>
      </c>
      <c r="D733" t="s">
        <v>71</v>
      </c>
      <c r="E733" t="s">
        <v>1932</v>
      </c>
      <c r="F733" t="s">
        <v>91</v>
      </c>
      <c r="G733" t="s">
        <v>1933</v>
      </c>
      <c r="H733" t="s">
        <v>135</v>
      </c>
      <c r="I733" t="s">
        <v>137</v>
      </c>
      <c r="J733" t="s">
        <v>26</v>
      </c>
      <c r="K733" t="s">
        <v>27</v>
      </c>
      <c r="L733" t="s">
        <v>53</v>
      </c>
      <c r="M733" t="s">
        <v>93</v>
      </c>
      <c r="N733" t="s">
        <v>30</v>
      </c>
      <c r="O733" t="s">
        <v>31</v>
      </c>
      <c r="P733" t="s">
        <v>75</v>
      </c>
      <c r="Q733" t="s">
        <v>129</v>
      </c>
      <c r="R733" t="s">
        <v>147</v>
      </c>
      <c r="S733" t="s">
        <v>1934</v>
      </c>
    </row>
    <row r="734" ht="55" customHeight="1" spans="1:19">
      <c r="A734" s="1" t="str">
        <f>_xlfn.DISPIMG("ID_553C7A6FF0614DB283E1BB6F24115BF8",1)</f>
        <v>=DISPIMG("ID_553C7A6FF0614DB283E1BB6F24115BF8",1)</v>
      </c>
      <c r="B734" t="s">
        <v>818</v>
      </c>
      <c r="C734" t="s">
        <v>1449</v>
      </c>
      <c r="D734" t="s">
        <v>60</v>
      </c>
      <c r="E734" t="s">
        <v>238</v>
      </c>
      <c r="F734" t="s">
        <v>173</v>
      </c>
      <c r="G734" t="s">
        <v>1241</v>
      </c>
      <c r="H734" t="s">
        <v>238</v>
      </c>
      <c r="I734" t="s">
        <v>175</v>
      </c>
      <c r="J734" t="s">
        <v>26</v>
      </c>
      <c r="K734" t="s">
        <v>27</v>
      </c>
      <c r="L734" t="s">
        <v>28</v>
      </c>
      <c r="M734" t="s">
        <v>93</v>
      </c>
      <c r="N734" t="s">
        <v>30</v>
      </c>
      <c r="O734" t="s">
        <v>31</v>
      </c>
      <c r="P734" t="s">
        <v>491</v>
      </c>
      <c r="Q734" t="s">
        <v>1935</v>
      </c>
      <c r="R734" t="s">
        <v>147</v>
      </c>
      <c r="S734" t="s">
        <v>1936</v>
      </c>
    </row>
    <row r="735" ht="55" customHeight="1" spans="1:19">
      <c r="A735" s="1" t="str">
        <f>_xlfn.DISPIMG("ID_78B9E9F16DA64AE29DCFB50C147E69F0",1)</f>
        <v>=DISPIMG("ID_78B9E9F16DA64AE29DCFB50C147E69F0",1)</v>
      </c>
      <c r="B735" t="s">
        <v>282</v>
      </c>
      <c r="C735" t="s">
        <v>1646</v>
      </c>
      <c r="D735" t="s">
        <v>244</v>
      </c>
      <c r="E735" t="s">
        <v>164</v>
      </c>
      <c r="F735" t="s">
        <v>40</v>
      </c>
      <c r="G735" t="s">
        <v>41</v>
      </c>
      <c r="H735" t="s">
        <v>164</v>
      </c>
      <c r="I735" t="s">
        <v>42</v>
      </c>
      <c r="J735" t="s">
        <v>26</v>
      </c>
      <c r="K735" t="s">
        <v>27</v>
      </c>
      <c r="L735" t="s">
        <v>28</v>
      </c>
      <c r="M735" t="s">
        <v>29</v>
      </c>
      <c r="N735" t="s">
        <v>30</v>
      </c>
      <c r="O735" t="s">
        <v>31</v>
      </c>
      <c r="P735" t="s">
        <v>1937</v>
      </c>
      <c r="Q735" t="s">
        <v>1938</v>
      </c>
      <c r="R735" t="s">
        <v>45</v>
      </c>
      <c r="S735" t="s">
        <v>1939</v>
      </c>
    </row>
    <row r="736" ht="55" customHeight="1" spans="1:19">
      <c r="A736" s="1" t="str">
        <f>_xlfn.DISPIMG("ID_60DB06DD578444DB8E3B39887150A0AB",1)</f>
        <v>=DISPIMG("ID_60DB06DD578444DB8E3B39887150A0AB",1)</v>
      </c>
      <c r="B736" t="s">
        <v>1940</v>
      </c>
      <c r="C736" t="s">
        <v>372</v>
      </c>
      <c r="D736" t="s">
        <v>315</v>
      </c>
      <c r="E736" t="s">
        <v>316</v>
      </c>
      <c r="F736" t="s">
        <v>878</v>
      </c>
      <c r="G736" t="s">
        <v>127</v>
      </c>
      <c r="H736" t="s">
        <v>144</v>
      </c>
      <c r="I736" t="s">
        <v>189</v>
      </c>
      <c r="J736" t="s">
        <v>230</v>
      </c>
      <c r="K736" t="s">
        <v>27</v>
      </c>
      <c r="L736" t="s">
        <v>28</v>
      </c>
      <c r="M736" t="s">
        <v>93</v>
      </c>
      <c r="N736" t="s">
        <v>30</v>
      </c>
      <c r="O736" t="s">
        <v>31</v>
      </c>
      <c r="P736" t="s">
        <v>138</v>
      </c>
      <c r="Q736" t="s">
        <v>275</v>
      </c>
      <c r="R736" t="s">
        <v>880</v>
      </c>
      <c r="S736" t="s">
        <v>1941</v>
      </c>
    </row>
    <row r="737" ht="55" customHeight="1" spans="1:19">
      <c r="A737" s="1" t="str">
        <f>_xlfn.DISPIMG("ID_BC770927B6C642C6854E29CBF81DDD47",1)</f>
        <v>=DISPIMG("ID_BC770927B6C642C6854E29CBF81DDD47",1)</v>
      </c>
      <c r="B737" t="s">
        <v>47</v>
      </c>
      <c r="C737" t="s">
        <v>936</v>
      </c>
      <c r="D737" t="s">
        <v>180</v>
      </c>
      <c r="E737" t="s">
        <v>111</v>
      </c>
      <c r="F737" t="s">
        <v>51</v>
      </c>
      <c r="G737" t="s">
        <v>1026</v>
      </c>
      <c r="H737" t="s">
        <v>111</v>
      </c>
      <c r="I737" t="s">
        <v>25</v>
      </c>
      <c r="J737" t="s">
        <v>26</v>
      </c>
      <c r="K737" t="s">
        <v>27</v>
      </c>
      <c r="L737" t="s">
        <v>28</v>
      </c>
      <c r="M737" t="s">
        <v>29</v>
      </c>
      <c r="N737" t="s">
        <v>64</v>
      </c>
      <c r="O737" t="s">
        <v>31</v>
      </c>
      <c r="P737" t="s">
        <v>261</v>
      </c>
      <c r="Q737" t="s">
        <v>765</v>
      </c>
      <c r="R737" t="s">
        <v>56</v>
      </c>
      <c r="S737" t="s">
        <v>1942</v>
      </c>
    </row>
    <row r="738" ht="55" customHeight="1" spans="1:19">
      <c r="A738" s="1" t="str">
        <f>_xlfn.DISPIMG("ID_8639C6B2E5D541808762BDEDF2CE5784",1)</f>
        <v>=DISPIMG("ID_8639C6B2E5D541808762BDEDF2CE5784",1)</v>
      </c>
      <c r="B738" t="s">
        <v>571</v>
      </c>
      <c r="C738" t="s">
        <v>89</v>
      </c>
      <c r="D738" t="s">
        <v>108</v>
      </c>
      <c r="E738" t="s">
        <v>109</v>
      </c>
      <c r="F738" t="s">
        <v>91</v>
      </c>
      <c r="G738" t="s">
        <v>306</v>
      </c>
      <c r="H738" t="s">
        <v>111</v>
      </c>
      <c r="I738" t="s">
        <v>175</v>
      </c>
      <c r="J738" t="s">
        <v>26</v>
      </c>
      <c r="K738" t="s">
        <v>27</v>
      </c>
      <c r="L738" t="s">
        <v>28</v>
      </c>
      <c r="M738" t="s">
        <v>93</v>
      </c>
      <c r="N738" t="s">
        <v>30</v>
      </c>
      <c r="O738" t="s">
        <v>31</v>
      </c>
      <c r="P738" t="s">
        <v>146</v>
      </c>
      <c r="Q738" t="s">
        <v>122</v>
      </c>
      <c r="R738" t="s">
        <v>191</v>
      </c>
      <c r="S738" t="s">
        <v>1943</v>
      </c>
    </row>
    <row r="739" ht="55" customHeight="1" spans="1:19">
      <c r="A739" s="1" t="str">
        <f>_xlfn.DISPIMG("ID_12434FAB892949FFAD9187B889E063D4",1)</f>
        <v>=DISPIMG("ID_12434FAB892949FFAD9187B889E063D4",1)</v>
      </c>
      <c r="B739" t="s">
        <v>257</v>
      </c>
      <c r="C739" t="s">
        <v>1944</v>
      </c>
      <c r="D739" t="s">
        <v>644</v>
      </c>
      <c r="E739" t="s">
        <v>328</v>
      </c>
      <c r="F739" t="s">
        <v>51</v>
      </c>
      <c r="G739" t="s">
        <v>280</v>
      </c>
      <c r="H739" t="s">
        <v>119</v>
      </c>
      <c r="I739" t="s">
        <v>25</v>
      </c>
      <c r="J739" t="s">
        <v>26</v>
      </c>
      <c r="K739" t="s">
        <v>27</v>
      </c>
      <c r="L739" t="s">
        <v>28</v>
      </c>
      <c r="M739" t="s">
        <v>29</v>
      </c>
      <c r="N739" t="s">
        <v>64</v>
      </c>
      <c r="O739" t="s">
        <v>31</v>
      </c>
      <c r="P739" t="s">
        <v>713</v>
      </c>
      <c r="Q739" t="s">
        <v>359</v>
      </c>
      <c r="R739" t="s">
        <v>263</v>
      </c>
      <c r="S739" t="s">
        <v>1945</v>
      </c>
    </row>
    <row r="740" ht="55" customHeight="1" spans="1:19">
      <c r="A740" s="1" t="str">
        <f>_xlfn.DISPIMG("ID_8C2A42962F874F14859574492A516378",1)</f>
        <v>=DISPIMG("ID_8C2A42962F874F14859574492A516378",1)</v>
      </c>
      <c r="B740" t="s">
        <v>158</v>
      </c>
      <c r="C740" t="s">
        <v>1946</v>
      </c>
      <c r="D740" t="s">
        <v>506</v>
      </c>
      <c r="E740" t="s">
        <v>507</v>
      </c>
      <c r="F740" t="s">
        <v>162</v>
      </c>
      <c r="G740" t="s">
        <v>744</v>
      </c>
      <c r="H740" t="s">
        <v>135</v>
      </c>
      <c r="I740" t="s">
        <v>165</v>
      </c>
      <c r="J740" t="s">
        <v>26</v>
      </c>
      <c r="K740" t="s">
        <v>27</v>
      </c>
      <c r="L740" t="s">
        <v>28</v>
      </c>
      <c r="M740" t="s">
        <v>166</v>
      </c>
      <c r="N740" t="s">
        <v>30</v>
      </c>
      <c r="O740" t="s">
        <v>31</v>
      </c>
      <c r="P740" t="s">
        <v>75</v>
      </c>
      <c r="Q740" t="s">
        <v>725</v>
      </c>
      <c r="R740" t="s">
        <v>168</v>
      </c>
      <c r="S740" t="s">
        <v>1947</v>
      </c>
    </row>
    <row r="741" ht="55" customHeight="1" spans="1:19">
      <c r="A741" s="1" t="str">
        <f>_xlfn.DISPIMG("ID_D5EB145F1A204FCBB113E07692965928",1)</f>
        <v>=DISPIMG("ID_D5EB145F1A204FCBB113E07692965928",1)</v>
      </c>
      <c r="B741" t="s">
        <v>116</v>
      </c>
      <c r="C741" t="s">
        <v>283</v>
      </c>
      <c r="D741" t="s">
        <v>143</v>
      </c>
      <c r="E741" t="s">
        <v>144</v>
      </c>
      <c r="F741" t="s">
        <v>40</v>
      </c>
      <c r="G741" t="s">
        <v>431</v>
      </c>
      <c r="H741" t="s">
        <v>144</v>
      </c>
      <c r="I741" t="s">
        <v>42</v>
      </c>
      <c r="J741" t="s">
        <v>26</v>
      </c>
      <c r="K741" t="s">
        <v>27</v>
      </c>
      <c r="L741" t="s">
        <v>74</v>
      </c>
      <c r="M741" t="s">
        <v>29</v>
      </c>
      <c r="N741" t="s">
        <v>30</v>
      </c>
      <c r="O741" t="s">
        <v>31</v>
      </c>
      <c r="P741" t="s">
        <v>112</v>
      </c>
      <c r="Q741" t="s">
        <v>44</v>
      </c>
      <c r="R741" t="s">
        <v>45</v>
      </c>
      <c r="S741" t="s">
        <v>1948</v>
      </c>
    </row>
    <row r="742" ht="55" customHeight="1" spans="1:19">
      <c r="A742" s="1" t="str">
        <f>_xlfn.DISPIMG("ID_D9E7A15EE6E1461DA281ABC23A711CB9",1)</f>
        <v>=DISPIMG("ID_D9E7A15EE6E1461DA281ABC23A711CB9",1)</v>
      </c>
      <c r="B742" t="s">
        <v>1504</v>
      </c>
      <c r="C742" t="s">
        <v>1949</v>
      </c>
      <c r="D742" t="s">
        <v>412</v>
      </c>
      <c r="E742" t="s">
        <v>413</v>
      </c>
      <c r="F742" t="s">
        <v>91</v>
      </c>
      <c r="G742" t="s">
        <v>1950</v>
      </c>
      <c r="H742" t="s">
        <v>100</v>
      </c>
      <c r="I742" t="s">
        <v>25</v>
      </c>
      <c r="J742" t="s">
        <v>26</v>
      </c>
      <c r="K742" t="s">
        <v>27</v>
      </c>
      <c r="L742" t="s">
        <v>231</v>
      </c>
      <c r="M742" t="s">
        <v>93</v>
      </c>
      <c r="N742" t="s">
        <v>30</v>
      </c>
      <c r="O742" t="s">
        <v>31</v>
      </c>
      <c r="P742" t="s">
        <v>221</v>
      </c>
      <c r="Q742" t="s">
        <v>129</v>
      </c>
      <c r="R742" t="s">
        <v>1506</v>
      </c>
      <c r="S742" t="s">
        <v>1951</v>
      </c>
    </row>
    <row r="743" ht="55" customHeight="1" spans="1:19">
      <c r="A743" s="1" t="str">
        <f>_xlfn.DISPIMG("ID_BA476C37A43F4609B2AD48D2DEEB7BFD",1)</f>
        <v>=DISPIMG("ID_BA476C37A43F4609B2AD48D2DEEB7BFD",1)</v>
      </c>
      <c r="B743" t="s">
        <v>794</v>
      </c>
      <c r="C743" t="s">
        <v>258</v>
      </c>
      <c r="D743" t="s">
        <v>279</v>
      </c>
      <c r="E743" t="s">
        <v>659</v>
      </c>
      <c r="F743" t="s">
        <v>290</v>
      </c>
      <c r="G743" t="s">
        <v>181</v>
      </c>
      <c r="H743" t="s">
        <v>659</v>
      </c>
      <c r="I743" t="s">
        <v>42</v>
      </c>
      <c r="J743" t="s">
        <v>26</v>
      </c>
      <c r="K743" t="s">
        <v>27</v>
      </c>
      <c r="L743" t="s">
        <v>28</v>
      </c>
      <c r="M743" t="s">
        <v>93</v>
      </c>
      <c r="N743" t="s">
        <v>30</v>
      </c>
      <c r="O743" t="s">
        <v>31</v>
      </c>
      <c r="P743" t="s">
        <v>65</v>
      </c>
      <c r="Q743" t="s">
        <v>76</v>
      </c>
      <c r="R743" t="s">
        <v>130</v>
      </c>
      <c r="S743" t="s">
        <v>1952</v>
      </c>
    </row>
    <row r="744" ht="55" customHeight="1" spans="1:19">
      <c r="A744" s="1" t="str">
        <f>_xlfn.DISPIMG("ID_138B3458E9E2459DB0DB4FCB2B800199",1)</f>
        <v>=DISPIMG("ID_138B3458E9E2459DB0DB4FCB2B800199",1)</v>
      </c>
      <c r="B744" t="s">
        <v>282</v>
      </c>
      <c r="C744" t="s">
        <v>479</v>
      </c>
      <c r="D744" t="s">
        <v>244</v>
      </c>
      <c r="E744" t="s">
        <v>164</v>
      </c>
      <c r="F744" t="s">
        <v>40</v>
      </c>
      <c r="G744" t="s">
        <v>127</v>
      </c>
      <c r="H744" t="s">
        <v>164</v>
      </c>
      <c r="I744" t="s">
        <v>42</v>
      </c>
      <c r="J744" t="s">
        <v>26</v>
      </c>
      <c r="K744" t="s">
        <v>27</v>
      </c>
      <c r="L744" t="s">
        <v>53</v>
      </c>
      <c r="M744" t="s">
        <v>29</v>
      </c>
      <c r="N744" t="s">
        <v>30</v>
      </c>
      <c r="O744" t="s">
        <v>31</v>
      </c>
      <c r="P744" t="s">
        <v>65</v>
      </c>
      <c r="Q744" t="s">
        <v>879</v>
      </c>
      <c r="R744" t="s">
        <v>45</v>
      </c>
      <c r="S744" t="s">
        <v>1953</v>
      </c>
    </row>
    <row r="745" ht="55" customHeight="1" spans="1:19">
      <c r="A745" s="1" t="str">
        <f>_xlfn.DISPIMG("ID_1EAE174681254F90A4CB9CDDABE54B06",1)</f>
        <v>=DISPIMG("ID_1EAE174681254F90A4CB9CDDABE54B06",1)</v>
      </c>
      <c r="B745" t="s">
        <v>141</v>
      </c>
      <c r="C745" t="s">
        <v>391</v>
      </c>
      <c r="D745" t="s">
        <v>483</v>
      </c>
      <c r="E745" t="s">
        <v>328</v>
      </c>
      <c r="F745" t="s">
        <v>40</v>
      </c>
      <c r="G745" t="s">
        <v>306</v>
      </c>
      <c r="H745" t="s">
        <v>119</v>
      </c>
      <c r="I745" t="s">
        <v>42</v>
      </c>
      <c r="J745" t="s">
        <v>26</v>
      </c>
      <c r="K745" t="s">
        <v>27</v>
      </c>
      <c r="L745" t="s">
        <v>28</v>
      </c>
      <c r="M745" t="s">
        <v>29</v>
      </c>
      <c r="N745" t="s">
        <v>661</v>
      </c>
      <c r="O745" t="s">
        <v>31</v>
      </c>
      <c r="P745" t="s">
        <v>146</v>
      </c>
      <c r="Q745" t="s">
        <v>297</v>
      </c>
      <c r="R745" t="s">
        <v>45</v>
      </c>
      <c r="S745" t="s">
        <v>1954</v>
      </c>
    </row>
    <row r="746" ht="55" customHeight="1" spans="1:19">
      <c r="A746" s="1" t="str">
        <f>_xlfn.DISPIMG("ID_0C7CBDCF6B974E57964DEFD787E0E8D1",1)</f>
        <v>=DISPIMG("ID_0C7CBDCF6B974E57964DEFD787E0E8D1",1)</v>
      </c>
      <c r="B746" t="s">
        <v>116</v>
      </c>
      <c r="C746" t="s">
        <v>1955</v>
      </c>
      <c r="D746" t="s">
        <v>375</v>
      </c>
      <c r="E746" t="s">
        <v>486</v>
      </c>
      <c r="F746" t="s">
        <v>40</v>
      </c>
      <c r="G746" t="s">
        <v>606</v>
      </c>
      <c r="H746" t="s">
        <v>486</v>
      </c>
      <c r="I746" t="s">
        <v>42</v>
      </c>
      <c r="J746" t="s">
        <v>26</v>
      </c>
      <c r="K746" t="s">
        <v>27</v>
      </c>
      <c r="L746" t="s">
        <v>74</v>
      </c>
      <c r="M746" t="s">
        <v>29</v>
      </c>
      <c r="N746" t="s">
        <v>30</v>
      </c>
      <c r="O746" t="s">
        <v>31</v>
      </c>
      <c r="P746" t="s">
        <v>75</v>
      </c>
      <c r="Q746" t="s">
        <v>76</v>
      </c>
      <c r="R746" t="s">
        <v>45</v>
      </c>
      <c r="S746" t="s">
        <v>1956</v>
      </c>
    </row>
    <row r="747" ht="55" customHeight="1" spans="1:19">
      <c r="A747" s="1" t="str">
        <f>_xlfn.DISPIMG("ID_156AD30E2EE64A43A53457392896A64D",1)</f>
        <v>=DISPIMG("ID_156AD30E2EE64A43A53457392896A64D",1)</v>
      </c>
      <c r="B747" t="s">
        <v>675</v>
      </c>
      <c r="C747" t="s">
        <v>314</v>
      </c>
      <c r="D747" t="s">
        <v>454</v>
      </c>
      <c r="E747" t="s">
        <v>135</v>
      </c>
      <c r="F747" t="s">
        <v>173</v>
      </c>
      <c r="G747" t="s">
        <v>312</v>
      </c>
      <c r="H747" t="s">
        <v>135</v>
      </c>
      <c r="I747" t="s">
        <v>137</v>
      </c>
      <c r="J747" t="s">
        <v>26</v>
      </c>
      <c r="K747" t="s">
        <v>27</v>
      </c>
      <c r="L747" t="s">
        <v>28</v>
      </c>
      <c r="M747" t="s">
        <v>93</v>
      </c>
      <c r="N747" t="s">
        <v>30</v>
      </c>
      <c r="O747" t="s">
        <v>31</v>
      </c>
      <c r="P747" t="s">
        <v>247</v>
      </c>
      <c r="Q747" t="s">
        <v>725</v>
      </c>
      <c r="R747" t="s">
        <v>618</v>
      </c>
      <c r="S747" t="s">
        <v>1957</v>
      </c>
    </row>
    <row r="748" ht="55" customHeight="1" spans="1:19">
      <c r="A748" s="1" t="str">
        <f>_xlfn.DISPIMG("ID_408E8E9B8E5540399103DA31E1B4E456",1)</f>
        <v>=DISPIMG("ID_408E8E9B8E5540399103DA31E1B4E456",1)</v>
      </c>
      <c r="B748" t="s">
        <v>158</v>
      </c>
      <c r="C748" t="s">
        <v>1958</v>
      </c>
      <c r="D748" t="s">
        <v>991</v>
      </c>
      <c r="E748" t="s">
        <v>413</v>
      </c>
      <c r="F748" t="s">
        <v>162</v>
      </c>
      <c r="G748" t="s">
        <v>152</v>
      </c>
      <c r="H748" t="s">
        <v>100</v>
      </c>
      <c r="I748" t="s">
        <v>165</v>
      </c>
      <c r="J748" t="s">
        <v>26</v>
      </c>
      <c r="K748" t="s">
        <v>27</v>
      </c>
      <c r="L748" t="s">
        <v>28</v>
      </c>
      <c r="M748" t="s">
        <v>166</v>
      </c>
      <c r="N748" t="s">
        <v>30</v>
      </c>
      <c r="O748" t="s">
        <v>31</v>
      </c>
      <c r="P748" t="s">
        <v>247</v>
      </c>
      <c r="Q748" t="s">
        <v>292</v>
      </c>
      <c r="R748" t="s">
        <v>168</v>
      </c>
      <c r="S748" t="s">
        <v>1959</v>
      </c>
    </row>
    <row r="749" ht="55" customHeight="1" spans="1:19">
      <c r="A749" s="1" t="str">
        <f>_xlfn.DISPIMG("ID_C848D5B7A6F64F8B98066C55E27C4BD3",1)</f>
        <v>=DISPIMG("ID_C848D5B7A6F64F8B98066C55E27C4BD3",1)</v>
      </c>
      <c r="B749" t="s">
        <v>1155</v>
      </c>
      <c r="C749" t="s">
        <v>498</v>
      </c>
      <c r="D749" t="s">
        <v>991</v>
      </c>
      <c r="E749" t="s">
        <v>1618</v>
      </c>
      <c r="F749" t="s">
        <v>173</v>
      </c>
      <c r="G749" t="s">
        <v>127</v>
      </c>
      <c r="H749" t="s">
        <v>486</v>
      </c>
      <c r="I749" t="s">
        <v>175</v>
      </c>
      <c r="J749" t="s">
        <v>26</v>
      </c>
      <c r="K749" t="s">
        <v>27</v>
      </c>
      <c r="L749" t="s">
        <v>28</v>
      </c>
      <c r="M749" t="s">
        <v>93</v>
      </c>
      <c r="N749" t="s">
        <v>30</v>
      </c>
      <c r="O749" t="s">
        <v>31</v>
      </c>
      <c r="P749" t="s">
        <v>698</v>
      </c>
      <c r="Q749" t="s">
        <v>55</v>
      </c>
      <c r="R749" t="s">
        <v>820</v>
      </c>
      <c r="S749" t="s">
        <v>1960</v>
      </c>
    </row>
    <row r="750" ht="55" customHeight="1" spans="1:19">
      <c r="A750" s="1" t="str">
        <f>_xlfn.DISPIMG("ID_3242211C128B49AB87D034A9BA3B0A45",1)</f>
        <v>=DISPIMG("ID_3242211C128B49AB87D034A9BA3B0A45",1)</v>
      </c>
      <c r="B750" t="s">
        <v>106</v>
      </c>
      <c r="C750" t="s">
        <v>1961</v>
      </c>
      <c r="D750" t="s">
        <v>572</v>
      </c>
      <c r="E750" t="s">
        <v>573</v>
      </c>
      <c r="F750" t="s">
        <v>40</v>
      </c>
      <c r="G750" t="s">
        <v>127</v>
      </c>
      <c r="H750" t="s">
        <v>211</v>
      </c>
      <c r="I750" t="s">
        <v>42</v>
      </c>
      <c r="J750" t="s">
        <v>26</v>
      </c>
      <c r="K750" t="s">
        <v>27</v>
      </c>
      <c r="L750" t="s">
        <v>28</v>
      </c>
      <c r="M750" t="s">
        <v>29</v>
      </c>
      <c r="N750" t="s">
        <v>64</v>
      </c>
      <c r="O750" t="s">
        <v>31</v>
      </c>
      <c r="P750" t="s">
        <v>146</v>
      </c>
      <c r="Q750" t="s">
        <v>183</v>
      </c>
      <c r="R750" t="s">
        <v>114</v>
      </c>
      <c r="S750" t="s">
        <v>1962</v>
      </c>
    </row>
    <row r="751" ht="55" customHeight="1" spans="1:19">
      <c r="A751" s="1" t="str">
        <f>_xlfn.DISPIMG("ID_B40C991D11FA4C10BA3E2387B8A7F7D3",1)</f>
        <v>=DISPIMG("ID_B40C991D11FA4C10BA3E2387B8A7F7D3",1)</v>
      </c>
      <c r="B751" t="s">
        <v>257</v>
      </c>
      <c r="C751" t="s">
        <v>126</v>
      </c>
      <c r="D751" t="s">
        <v>991</v>
      </c>
      <c r="E751" t="s">
        <v>413</v>
      </c>
      <c r="F751" t="s">
        <v>51</v>
      </c>
      <c r="G751" t="s">
        <v>312</v>
      </c>
      <c r="H751" t="s">
        <v>100</v>
      </c>
      <c r="I751" t="s">
        <v>25</v>
      </c>
      <c r="J751" t="s">
        <v>26</v>
      </c>
      <c r="K751" t="s">
        <v>27</v>
      </c>
      <c r="L751" t="s">
        <v>74</v>
      </c>
      <c r="M751" t="s">
        <v>29</v>
      </c>
      <c r="N751" t="s">
        <v>30</v>
      </c>
      <c r="O751" t="s">
        <v>31</v>
      </c>
      <c r="P751" t="s">
        <v>138</v>
      </c>
      <c r="Q751" t="s">
        <v>255</v>
      </c>
      <c r="R751" t="s">
        <v>1963</v>
      </c>
      <c r="S751" t="s">
        <v>1964</v>
      </c>
    </row>
    <row r="752" ht="55" customHeight="1" spans="1:19">
      <c r="A752" s="1" t="str">
        <f>_xlfn.DISPIMG("ID_B8D536797A8945BE8E1A0813012F6E81",1)</f>
        <v>=DISPIMG("ID_B8D536797A8945BE8E1A0813012F6E81",1)</v>
      </c>
      <c r="B752" t="s">
        <v>36</v>
      </c>
      <c r="C752" t="s">
        <v>611</v>
      </c>
      <c r="D752" t="s">
        <v>118</v>
      </c>
      <c r="E752" t="s">
        <v>119</v>
      </c>
      <c r="F752" t="s">
        <v>40</v>
      </c>
      <c r="G752" t="s">
        <v>312</v>
      </c>
      <c r="H752" t="s">
        <v>119</v>
      </c>
      <c r="I752" t="s">
        <v>42</v>
      </c>
      <c r="J752" t="s">
        <v>26</v>
      </c>
      <c r="K752" t="s">
        <v>27</v>
      </c>
      <c r="L752" t="s">
        <v>28</v>
      </c>
      <c r="M752" t="s">
        <v>29</v>
      </c>
      <c r="N752" t="s">
        <v>30</v>
      </c>
      <c r="O752" t="s">
        <v>31</v>
      </c>
      <c r="P752" t="s">
        <v>351</v>
      </c>
      <c r="Q752" t="s">
        <v>190</v>
      </c>
      <c r="R752" t="s">
        <v>45</v>
      </c>
      <c r="S752" t="s">
        <v>1965</v>
      </c>
    </row>
    <row r="753" ht="55" customHeight="1" spans="1:19">
      <c r="A753" s="1" t="str">
        <f>_xlfn.DISPIMG("ID_95CA81BF2C2E437583DB152417CD33EB",1)</f>
        <v>=DISPIMG("ID_95CA81BF2C2E437583DB152417CD33EB",1)</v>
      </c>
      <c r="B753" t="s">
        <v>1966</v>
      </c>
      <c r="C753" t="s">
        <v>1967</v>
      </c>
      <c r="D753" t="s">
        <v>279</v>
      </c>
      <c r="E753" t="s">
        <v>164</v>
      </c>
      <c r="F753" t="s">
        <v>162</v>
      </c>
      <c r="G753" t="s">
        <v>1680</v>
      </c>
      <c r="H753" t="s">
        <v>164</v>
      </c>
      <c r="I753" t="s">
        <v>165</v>
      </c>
      <c r="J753" t="s">
        <v>26</v>
      </c>
      <c r="K753" t="s">
        <v>27</v>
      </c>
      <c r="L753" t="s">
        <v>231</v>
      </c>
      <c r="M753" t="s">
        <v>166</v>
      </c>
      <c r="N753" t="s">
        <v>30</v>
      </c>
      <c r="O753" t="s">
        <v>31</v>
      </c>
      <c r="P753" t="s">
        <v>301</v>
      </c>
      <c r="Q753" t="s">
        <v>76</v>
      </c>
      <c r="R753" t="s">
        <v>168</v>
      </c>
      <c r="S753" t="s">
        <v>1968</v>
      </c>
    </row>
    <row r="754" ht="55" customHeight="1" spans="1:19">
      <c r="A754" s="1" t="str">
        <f>_xlfn.DISPIMG("ID_A7550CD0E80F480EAB4D202E54C169F1",1)</f>
        <v>=DISPIMG("ID_A7550CD0E80F480EAB4D202E54C169F1",1)</v>
      </c>
      <c r="B754" t="s">
        <v>794</v>
      </c>
      <c r="C754" t="s">
        <v>936</v>
      </c>
      <c r="D754" t="s">
        <v>865</v>
      </c>
      <c r="E754" t="s">
        <v>204</v>
      </c>
      <c r="F754" t="s">
        <v>290</v>
      </c>
      <c r="G754" t="s">
        <v>73</v>
      </c>
      <c r="H754" t="s">
        <v>72</v>
      </c>
      <c r="I754" t="s">
        <v>42</v>
      </c>
      <c r="J754" t="s">
        <v>26</v>
      </c>
      <c r="K754" t="s">
        <v>27</v>
      </c>
      <c r="L754" t="s">
        <v>28</v>
      </c>
      <c r="M754" t="s">
        <v>93</v>
      </c>
      <c r="N754" t="s">
        <v>30</v>
      </c>
      <c r="O754" t="s">
        <v>31</v>
      </c>
      <c r="P754" t="s">
        <v>75</v>
      </c>
      <c r="Q754" t="s">
        <v>66</v>
      </c>
      <c r="R754" t="s">
        <v>130</v>
      </c>
      <c r="S754" t="s">
        <v>1969</v>
      </c>
    </row>
    <row r="755" ht="55" customHeight="1" spans="1:19">
      <c r="A755" s="1" t="str">
        <f>_xlfn.DISPIMG("ID_22DF3239DA424BBFB91B99EC11543820",1)</f>
        <v>=DISPIMG("ID_22DF3239DA424BBFB91B99EC11543820",1)</v>
      </c>
      <c r="B755" t="s">
        <v>242</v>
      </c>
      <c r="C755" t="s">
        <v>396</v>
      </c>
      <c r="D755" t="s">
        <v>556</v>
      </c>
      <c r="E755" t="s">
        <v>72</v>
      </c>
      <c r="F755" t="s">
        <v>245</v>
      </c>
      <c r="G755" t="s">
        <v>436</v>
      </c>
      <c r="H755" t="s">
        <v>197</v>
      </c>
      <c r="I755" t="s">
        <v>165</v>
      </c>
      <c r="J755" t="s">
        <v>26</v>
      </c>
      <c r="K755" t="s">
        <v>27</v>
      </c>
      <c r="L755" t="s">
        <v>231</v>
      </c>
      <c r="M755" t="s">
        <v>93</v>
      </c>
      <c r="N755" t="s">
        <v>30</v>
      </c>
      <c r="O755" t="s">
        <v>31</v>
      </c>
      <c r="P755" t="s">
        <v>1486</v>
      </c>
      <c r="Q755" t="s">
        <v>76</v>
      </c>
      <c r="R755" t="s">
        <v>249</v>
      </c>
      <c r="S755" t="s">
        <v>1970</v>
      </c>
    </row>
    <row r="756" ht="55" customHeight="1" spans="1:19">
      <c r="A756" s="1" t="str">
        <f>_xlfn.DISPIMG("ID_332DD00512AC4D12AD313541A96083B9",1)</f>
        <v>=DISPIMG("ID_332DD00512AC4D12AD313541A96083B9",1)</v>
      </c>
      <c r="B756" t="s">
        <v>366</v>
      </c>
      <c r="C756" t="s">
        <v>1793</v>
      </c>
      <c r="D756" t="s">
        <v>435</v>
      </c>
      <c r="E756" t="s">
        <v>518</v>
      </c>
      <c r="F756" t="s">
        <v>245</v>
      </c>
      <c r="G756" t="s">
        <v>246</v>
      </c>
      <c r="H756" t="s">
        <v>195</v>
      </c>
      <c r="I756" t="s">
        <v>165</v>
      </c>
      <c r="J756" t="s">
        <v>26</v>
      </c>
      <c r="K756" t="s">
        <v>27</v>
      </c>
      <c r="L756" t="s">
        <v>28</v>
      </c>
      <c r="M756" t="s">
        <v>93</v>
      </c>
      <c r="N756" t="s">
        <v>30</v>
      </c>
      <c r="O756" t="s">
        <v>31</v>
      </c>
      <c r="P756" t="s">
        <v>473</v>
      </c>
      <c r="Q756" t="s">
        <v>76</v>
      </c>
      <c r="R756" t="s">
        <v>370</v>
      </c>
      <c r="S756" t="s">
        <v>1971</v>
      </c>
    </row>
    <row r="757" ht="55" customHeight="1" spans="1:19">
      <c r="A757" s="1" t="str">
        <f>_xlfn.DISPIMG("ID_1B25ED74E1F9427F9BDE314B78A8393C",1)</f>
        <v>=DISPIMG("ID_1B25ED74E1F9427F9BDE314B78A8393C",1)</v>
      </c>
      <c r="B757" t="s">
        <v>497</v>
      </c>
      <c r="C757" t="s">
        <v>1727</v>
      </c>
      <c r="D757" t="s">
        <v>322</v>
      </c>
      <c r="E757" t="s">
        <v>1095</v>
      </c>
      <c r="F757" t="s">
        <v>162</v>
      </c>
      <c r="G757" t="s">
        <v>273</v>
      </c>
      <c r="H757" t="s">
        <v>1095</v>
      </c>
      <c r="I757" t="s">
        <v>175</v>
      </c>
      <c r="J757" t="s">
        <v>26</v>
      </c>
      <c r="K757" t="s">
        <v>27</v>
      </c>
      <c r="L757" t="s">
        <v>28</v>
      </c>
      <c r="M757" t="s">
        <v>166</v>
      </c>
      <c r="N757" t="s">
        <v>30</v>
      </c>
      <c r="O757" t="s">
        <v>31</v>
      </c>
      <c r="P757" t="s">
        <v>463</v>
      </c>
      <c r="Q757" t="s">
        <v>76</v>
      </c>
      <c r="R757" t="s">
        <v>1972</v>
      </c>
      <c r="S757" t="s">
        <v>1973</v>
      </c>
    </row>
    <row r="758" ht="55" customHeight="1" spans="1:19">
      <c r="A758" s="1" t="str">
        <f>_xlfn.DISPIMG("ID_8523E7C850B7450788E78ABFB86A1578",1)</f>
        <v>=DISPIMG("ID_8523E7C850B7450788E78ABFB86A1578",1)</v>
      </c>
      <c r="B758" t="s">
        <v>242</v>
      </c>
      <c r="C758" t="s">
        <v>873</v>
      </c>
      <c r="D758" t="s">
        <v>244</v>
      </c>
      <c r="E758" t="s">
        <v>164</v>
      </c>
      <c r="F758" t="s">
        <v>245</v>
      </c>
      <c r="G758" t="s">
        <v>1974</v>
      </c>
      <c r="H758" t="s">
        <v>164</v>
      </c>
      <c r="I758" t="s">
        <v>165</v>
      </c>
      <c r="J758" t="s">
        <v>26</v>
      </c>
      <c r="K758" t="s">
        <v>27</v>
      </c>
      <c r="L758" t="s">
        <v>231</v>
      </c>
      <c r="M758" t="s">
        <v>93</v>
      </c>
      <c r="N758" t="s">
        <v>30</v>
      </c>
      <c r="O758" t="s">
        <v>31</v>
      </c>
      <c r="P758" t="s">
        <v>1039</v>
      </c>
      <c r="Q758" t="s">
        <v>76</v>
      </c>
      <c r="R758" t="s">
        <v>249</v>
      </c>
      <c r="S758" t="s">
        <v>1975</v>
      </c>
    </row>
    <row r="759" ht="55" customHeight="1" spans="1:19">
      <c r="A759" s="1" t="str">
        <f>_xlfn.DISPIMG("ID_737C92BA30C04D99ACFDF3673769B804",1)</f>
        <v>=DISPIMG("ID_737C92BA30C04D99ACFDF3673769B804",1)</v>
      </c>
      <c r="B759" t="s">
        <v>257</v>
      </c>
      <c r="C759" t="s">
        <v>1541</v>
      </c>
      <c r="D759" t="s">
        <v>499</v>
      </c>
      <c r="E759" t="s">
        <v>392</v>
      </c>
      <c r="F759" t="s">
        <v>51</v>
      </c>
      <c r="G759" t="s">
        <v>1976</v>
      </c>
      <c r="H759" t="s">
        <v>392</v>
      </c>
      <c r="I759" t="s">
        <v>25</v>
      </c>
      <c r="J759" t="s">
        <v>26</v>
      </c>
      <c r="K759" t="s">
        <v>27</v>
      </c>
      <c r="L759" t="s">
        <v>74</v>
      </c>
      <c r="M759" t="s">
        <v>29</v>
      </c>
      <c r="N759" t="s">
        <v>30</v>
      </c>
      <c r="O759" t="s">
        <v>31</v>
      </c>
      <c r="P759" t="s">
        <v>146</v>
      </c>
      <c r="Q759" t="s">
        <v>55</v>
      </c>
      <c r="R759" t="s">
        <v>147</v>
      </c>
      <c r="S759" t="s">
        <v>1977</v>
      </c>
    </row>
    <row r="760" ht="55" customHeight="1" spans="1:19">
      <c r="A760" s="1" t="str">
        <f>_xlfn.DISPIMG("ID_65CC789C8085435EABFDB0828249D354",1)</f>
        <v>=DISPIMG("ID_65CC789C8085435EABFDB0828249D354",1)</v>
      </c>
      <c r="B760" t="s">
        <v>242</v>
      </c>
      <c r="C760" t="s">
        <v>289</v>
      </c>
      <c r="D760" t="s">
        <v>435</v>
      </c>
      <c r="E760" t="s">
        <v>518</v>
      </c>
      <c r="F760" t="s">
        <v>245</v>
      </c>
      <c r="G760" t="s">
        <v>387</v>
      </c>
      <c r="H760" t="s">
        <v>518</v>
      </c>
      <c r="I760" t="s">
        <v>165</v>
      </c>
      <c r="J760" t="s">
        <v>26</v>
      </c>
      <c r="K760" t="s">
        <v>27</v>
      </c>
      <c r="L760" t="s">
        <v>557</v>
      </c>
      <c r="M760" t="s">
        <v>93</v>
      </c>
      <c r="N760" t="s">
        <v>30</v>
      </c>
      <c r="O760" t="s">
        <v>31</v>
      </c>
      <c r="P760" t="s">
        <v>182</v>
      </c>
      <c r="Q760" t="s">
        <v>297</v>
      </c>
      <c r="R760" t="s">
        <v>249</v>
      </c>
      <c r="S760" t="s">
        <v>1978</v>
      </c>
    </row>
    <row r="761" ht="55" customHeight="1" spans="1:19">
      <c r="A761" s="1" t="str">
        <f>_xlfn.DISPIMG("ID_C37375F9F5EB452DA24E776121123C85",1)</f>
        <v>=DISPIMG("ID_C37375F9F5EB452DA24E776121123C85",1)</v>
      </c>
      <c r="B761" t="s">
        <v>534</v>
      </c>
      <c r="C761" t="s">
        <v>608</v>
      </c>
      <c r="D761" t="s">
        <v>865</v>
      </c>
      <c r="E761" t="s">
        <v>204</v>
      </c>
      <c r="F761" t="s">
        <v>40</v>
      </c>
      <c r="G761" t="s">
        <v>724</v>
      </c>
      <c r="H761" t="s">
        <v>72</v>
      </c>
      <c r="I761" t="s">
        <v>42</v>
      </c>
      <c r="J761" t="s">
        <v>26</v>
      </c>
      <c r="K761" t="s">
        <v>27</v>
      </c>
      <c r="L761" t="s">
        <v>28</v>
      </c>
      <c r="M761" t="s">
        <v>29</v>
      </c>
      <c r="N761" t="s">
        <v>30</v>
      </c>
      <c r="O761" t="s">
        <v>31</v>
      </c>
      <c r="P761" t="s">
        <v>138</v>
      </c>
      <c r="Q761" t="s">
        <v>255</v>
      </c>
      <c r="R761" t="s">
        <v>1801</v>
      </c>
      <c r="S761" t="s">
        <v>1979</v>
      </c>
    </row>
    <row r="762" ht="55" customHeight="1" spans="1:19">
      <c r="A762" s="1" t="str">
        <f>_xlfn.DISPIMG("ID_9B13D57AD22F4E5F92C6699A77FE3353",1)</f>
        <v>=DISPIMG("ID_9B13D57AD22F4E5F92C6699A77FE3353",1)</v>
      </c>
      <c r="B762" t="s">
        <v>236</v>
      </c>
      <c r="C762" t="s">
        <v>1980</v>
      </c>
      <c r="D762" t="s">
        <v>506</v>
      </c>
      <c r="E762" t="s">
        <v>507</v>
      </c>
      <c r="F762" t="s">
        <v>51</v>
      </c>
      <c r="G762" t="s">
        <v>495</v>
      </c>
      <c r="H762" t="s">
        <v>135</v>
      </c>
      <c r="I762" t="s">
        <v>42</v>
      </c>
      <c r="J762" t="s">
        <v>26</v>
      </c>
      <c r="K762" t="s">
        <v>27</v>
      </c>
      <c r="L762" t="s">
        <v>74</v>
      </c>
      <c r="M762" t="s">
        <v>29</v>
      </c>
      <c r="N762" t="s">
        <v>30</v>
      </c>
      <c r="O762" t="s">
        <v>31</v>
      </c>
      <c r="P762" t="s">
        <v>146</v>
      </c>
      <c r="Q762" t="s">
        <v>183</v>
      </c>
      <c r="R762" t="s">
        <v>104</v>
      </c>
      <c r="S762" t="s">
        <v>1981</v>
      </c>
    </row>
    <row r="763" ht="55" customHeight="1" spans="1:19">
      <c r="A763" s="1" t="str">
        <f>_xlfn.DISPIMG("ID_C21B34D69C934F199D5086CCC4D1FDF5",1)</f>
        <v>=DISPIMG("ID_C21B34D69C934F199D5086CCC4D1FDF5",1)</v>
      </c>
      <c r="B763" t="s">
        <v>242</v>
      </c>
      <c r="C763" t="s">
        <v>1468</v>
      </c>
      <c r="D763" t="s">
        <v>143</v>
      </c>
      <c r="E763" t="s">
        <v>144</v>
      </c>
      <c r="F763" t="s">
        <v>245</v>
      </c>
      <c r="G763" t="s">
        <v>740</v>
      </c>
      <c r="H763" t="s">
        <v>144</v>
      </c>
      <c r="I763" t="s">
        <v>165</v>
      </c>
      <c r="J763" t="s">
        <v>26</v>
      </c>
      <c r="K763" t="s">
        <v>27</v>
      </c>
      <c r="L763" t="s">
        <v>557</v>
      </c>
      <c r="M763" t="s">
        <v>93</v>
      </c>
      <c r="N763" t="s">
        <v>30</v>
      </c>
      <c r="O763" t="s">
        <v>31</v>
      </c>
      <c r="P763" t="s">
        <v>1982</v>
      </c>
      <c r="Q763" t="s">
        <v>248</v>
      </c>
      <c r="R763" t="s">
        <v>249</v>
      </c>
      <c r="S763" t="s">
        <v>1983</v>
      </c>
    </row>
    <row r="764" ht="55" customHeight="1" spans="1:19">
      <c r="A764" s="1" t="str">
        <f>_xlfn.DISPIMG("ID_18D24844498A40A38C11BC388B5508F4",1)</f>
        <v>=DISPIMG("ID_18D24844498A40A38C11BC388B5508F4",1)</v>
      </c>
      <c r="B764" t="s">
        <v>465</v>
      </c>
      <c r="C764" t="s">
        <v>391</v>
      </c>
      <c r="D764" t="s">
        <v>81</v>
      </c>
      <c r="E764" t="s">
        <v>82</v>
      </c>
      <c r="F764" t="s">
        <v>40</v>
      </c>
      <c r="G764" t="s">
        <v>383</v>
      </c>
      <c r="H764" t="s">
        <v>84</v>
      </c>
      <c r="I764" t="s">
        <v>42</v>
      </c>
      <c r="J764" t="s">
        <v>26</v>
      </c>
      <c r="K764" t="s">
        <v>27</v>
      </c>
      <c r="L764" t="s">
        <v>53</v>
      </c>
      <c r="M764" t="s">
        <v>29</v>
      </c>
      <c r="N764" t="s">
        <v>30</v>
      </c>
      <c r="O764" t="s">
        <v>31</v>
      </c>
      <c r="P764" t="s">
        <v>154</v>
      </c>
      <c r="Q764" t="s">
        <v>468</v>
      </c>
      <c r="R764" t="s">
        <v>45</v>
      </c>
      <c r="S764" t="s">
        <v>1984</v>
      </c>
    </row>
    <row r="765" ht="55" customHeight="1" spans="1:19">
      <c r="A765" s="1" t="str">
        <f>_xlfn.DISPIMG("ID_CF1622E0BBD54FB687985E62384638DA",1)</f>
        <v>=DISPIMG("ID_CF1622E0BBD54FB687985E62384638DA",1)</v>
      </c>
      <c r="B765" t="s">
        <v>149</v>
      </c>
      <c r="C765" t="s">
        <v>1985</v>
      </c>
      <c r="D765" t="s">
        <v>160</v>
      </c>
      <c r="E765" t="s">
        <v>1986</v>
      </c>
      <c r="F765" t="s">
        <v>51</v>
      </c>
      <c r="G765" t="s">
        <v>431</v>
      </c>
      <c r="H765" t="s">
        <v>1986</v>
      </c>
      <c r="I765" t="s">
        <v>25</v>
      </c>
      <c r="J765" t="s">
        <v>26</v>
      </c>
      <c r="K765" t="s">
        <v>27</v>
      </c>
      <c r="L765" t="s">
        <v>28</v>
      </c>
      <c r="M765" t="s">
        <v>29</v>
      </c>
      <c r="N765" t="s">
        <v>64</v>
      </c>
      <c r="O765" t="s">
        <v>153</v>
      </c>
      <c r="P765" t="s">
        <v>112</v>
      </c>
      <c r="Q765" t="s">
        <v>255</v>
      </c>
      <c r="R765" t="s">
        <v>147</v>
      </c>
      <c r="S765" t="s">
        <v>1987</v>
      </c>
    </row>
    <row r="766" ht="55" customHeight="1" spans="1:19">
      <c r="A766" s="1" t="str">
        <f>_xlfn.DISPIMG("ID_8CBBCFE8265D40C5A987DA6A6A6C6C09",1)</f>
        <v>=DISPIMG("ID_8CBBCFE8265D40C5A987DA6A6A6C6C09",1)</v>
      </c>
      <c r="B766" t="s">
        <v>366</v>
      </c>
      <c r="C766" t="s">
        <v>1445</v>
      </c>
      <c r="D766" t="s">
        <v>375</v>
      </c>
      <c r="E766" t="s">
        <v>486</v>
      </c>
      <c r="F766" t="s">
        <v>245</v>
      </c>
      <c r="G766" t="s">
        <v>246</v>
      </c>
      <c r="H766" t="s">
        <v>486</v>
      </c>
      <c r="I766" t="s">
        <v>165</v>
      </c>
      <c r="J766" t="s">
        <v>26</v>
      </c>
      <c r="K766" t="s">
        <v>27</v>
      </c>
      <c r="L766" t="s">
        <v>557</v>
      </c>
      <c r="M766" t="s">
        <v>93</v>
      </c>
      <c r="N766" t="s">
        <v>30</v>
      </c>
      <c r="O766" t="s">
        <v>31</v>
      </c>
      <c r="P766" t="s">
        <v>247</v>
      </c>
      <c r="Q766" t="s">
        <v>297</v>
      </c>
      <c r="R766" t="s">
        <v>370</v>
      </c>
      <c r="S766" t="s">
        <v>1988</v>
      </c>
    </row>
    <row r="767" ht="55" customHeight="1" spans="1:19">
      <c r="A767" s="1" t="str">
        <f>_xlfn.DISPIMG("ID_A79DB27EE3944C7BB26F37CA74719176",1)</f>
        <v>=DISPIMG("ID_A79DB27EE3944C7BB26F37CA74719176",1)</v>
      </c>
      <c r="B767" t="s">
        <v>19</v>
      </c>
      <c r="C767" t="s">
        <v>668</v>
      </c>
      <c r="D767" t="s">
        <v>1989</v>
      </c>
      <c r="E767" t="s">
        <v>211</v>
      </c>
      <c r="F767" t="s">
        <v>23</v>
      </c>
      <c r="G767" t="s">
        <v>174</v>
      </c>
      <c r="H767" t="s">
        <v>211</v>
      </c>
      <c r="I767" t="s">
        <v>25</v>
      </c>
      <c r="J767" t="s">
        <v>26</v>
      </c>
      <c r="K767" t="s">
        <v>27</v>
      </c>
      <c r="L767" t="s">
        <v>74</v>
      </c>
      <c r="M767" t="s">
        <v>29</v>
      </c>
      <c r="N767" t="s">
        <v>30</v>
      </c>
      <c r="O767" t="s">
        <v>31</v>
      </c>
      <c r="P767" t="s">
        <v>75</v>
      </c>
      <c r="Q767" t="s">
        <v>248</v>
      </c>
      <c r="R767" t="s">
        <v>34</v>
      </c>
      <c r="S767" t="s">
        <v>1990</v>
      </c>
    </row>
    <row r="768" ht="55" customHeight="1" spans="1:19">
      <c r="A768" s="1" t="str">
        <f>_xlfn.DISPIMG("ID_7A67B8014FE44289901B430EE144340B",1)</f>
        <v>=DISPIMG("ID_7A67B8014FE44289901B430EE144340B",1)</v>
      </c>
      <c r="B768" t="s">
        <v>458</v>
      </c>
      <c r="C768" t="s">
        <v>510</v>
      </c>
      <c r="D768" t="s">
        <v>1341</v>
      </c>
      <c r="E768" t="s">
        <v>111</v>
      </c>
      <c r="F768" t="s">
        <v>173</v>
      </c>
      <c r="G768" t="s">
        <v>174</v>
      </c>
      <c r="H768" t="s">
        <v>111</v>
      </c>
      <c r="I768" t="s">
        <v>175</v>
      </c>
      <c r="J768" t="s">
        <v>26</v>
      </c>
      <c r="K768" t="s">
        <v>27</v>
      </c>
      <c r="L768" t="s">
        <v>28</v>
      </c>
      <c r="M768" t="s">
        <v>93</v>
      </c>
      <c r="N768" t="s">
        <v>30</v>
      </c>
      <c r="O768" t="s">
        <v>31</v>
      </c>
      <c r="P768" t="s">
        <v>1119</v>
      </c>
      <c r="Q768" t="s">
        <v>76</v>
      </c>
      <c r="R768" t="s">
        <v>147</v>
      </c>
      <c r="S768" t="s">
        <v>1991</v>
      </c>
    </row>
    <row r="769" ht="55" customHeight="1" spans="1:19">
      <c r="A769" s="1" t="str">
        <f>_xlfn.DISPIMG("ID_15D44B641BB346938B8F6D72C3FC1B55",1)</f>
        <v>=DISPIMG("ID_15D44B641BB346938B8F6D72C3FC1B55",1)</v>
      </c>
      <c r="B769" t="s">
        <v>629</v>
      </c>
      <c r="C769" t="s">
        <v>1992</v>
      </c>
      <c r="D769" t="s">
        <v>524</v>
      </c>
      <c r="E769" t="s">
        <v>63</v>
      </c>
      <c r="F769" t="s">
        <v>91</v>
      </c>
      <c r="G769" t="s">
        <v>383</v>
      </c>
      <c r="H769" t="s">
        <v>63</v>
      </c>
      <c r="I769" t="s">
        <v>175</v>
      </c>
      <c r="J769" t="s">
        <v>26</v>
      </c>
      <c r="K769" t="s">
        <v>27</v>
      </c>
      <c r="L769" t="s">
        <v>28</v>
      </c>
      <c r="M769" t="s">
        <v>93</v>
      </c>
      <c r="N769" t="s">
        <v>30</v>
      </c>
      <c r="O769" t="s">
        <v>31</v>
      </c>
      <c r="P769" t="s">
        <v>154</v>
      </c>
      <c r="Q769" t="s">
        <v>55</v>
      </c>
      <c r="R769" t="s">
        <v>1745</v>
      </c>
      <c r="S769" t="s">
        <v>1993</v>
      </c>
    </row>
    <row r="770" ht="55" customHeight="1" spans="1:19">
      <c r="A770" s="1" t="str">
        <f>_xlfn.DISPIMG("ID_5B39779E144347A6913B276169556D9C",1)</f>
        <v>=DISPIMG("ID_5B39779E144347A6913B276169556D9C",1)</v>
      </c>
      <c r="B770" t="s">
        <v>439</v>
      </c>
      <c r="C770" t="s">
        <v>1156</v>
      </c>
      <c r="D770" t="s">
        <v>108</v>
      </c>
      <c r="E770" t="s">
        <v>109</v>
      </c>
      <c r="F770" t="s">
        <v>91</v>
      </c>
      <c r="G770" t="s">
        <v>1414</v>
      </c>
      <c r="H770" t="s">
        <v>111</v>
      </c>
      <c r="I770" t="s">
        <v>137</v>
      </c>
      <c r="J770" t="s">
        <v>26</v>
      </c>
      <c r="K770" t="s">
        <v>27</v>
      </c>
      <c r="L770" t="s">
        <v>74</v>
      </c>
      <c r="M770" t="s">
        <v>93</v>
      </c>
      <c r="N770" t="s">
        <v>30</v>
      </c>
      <c r="O770" t="s">
        <v>31</v>
      </c>
      <c r="P770" t="s">
        <v>146</v>
      </c>
      <c r="Q770" t="s">
        <v>76</v>
      </c>
      <c r="R770" t="s">
        <v>191</v>
      </c>
      <c r="S770" t="s">
        <v>1994</v>
      </c>
    </row>
    <row r="771" ht="55" customHeight="1" spans="1:19">
      <c r="A771" s="1" t="str">
        <f>_xlfn.DISPIMG("ID_8775B87675F047518CC165B5F1FEF37E",1)</f>
        <v>=DISPIMG("ID_8775B87675F047518CC165B5F1FEF37E",1)</v>
      </c>
      <c r="B771" t="s">
        <v>1921</v>
      </c>
      <c r="C771" t="s">
        <v>126</v>
      </c>
      <c r="D771" t="s">
        <v>244</v>
      </c>
      <c r="E771" t="s">
        <v>659</v>
      </c>
      <c r="F771" t="s">
        <v>40</v>
      </c>
      <c r="G771" t="s">
        <v>436</v>
      </c>
      <c r="H771" t="s">
        <v>659</v>
      </c>
      <c r="I771" t="s">
        <v>175</v>
      </c>
      <c r="J771" t="s">
        <v>26</v>
      </c>
      <c r="K771" t="s">
        <v>27</v>
      </c>
      <c r="L771" t="s">
        <v>231</v>
      </c>
      <c r="M771" t="s">
        <v>29</v>
      </c>
      <c r="N771" t="s">
        <v>30</v>
      </c>
      <c r="O771" t="s">
        <v>31</v>
      </c>
      <c r="P771" t="s">
        <v>146</v>
      </c>
      <c r="Q771" t="s">
        <v>297</v>
      </c>
      <c r="R771" t="s">
        <v>336</v>
      </c>
      <c r="S771" t="s">
        <v>1995</v>
      </c>
    </row>
    <row r="772" ht="55" customHeight="1" spans="1:19">
      <c r="A772" s="1" t="str">
        <f>_xlfn.DISPIMG("ID_9FA70C3648F741D2A5DF59E735716AB6",1)</f>
        <v>=DISPIMG("ID_9FA70C3648F741D2A5DF59E735716AB6",1)</v>
      </c>
      <c r="B772" t="s">
        <v>320</v>
      </c>
      <c r="C772" t="s">
        <v>209</v>
      </c>
      <c r="D772" t="s">
        <v>789</v>
      </c>
      <c r="E772" t="s">
        <v>164</v>
      </c>
      <c r="F772" t="s">
        <v>173</v>
      </c>
      <c r="G772" t="s">
        <v>273</v>
      </c>
      <c r="H772" t="s">
        <v>164</v>
      </c>
      <c r="I772" t="s">
        <v>175</v>
      </c>
      <c r="J772" t="s">
        <v>26</v>
      </c>
      <c r="K772" t="s">
        <v>27</v>
      </c>
      <c r="L772" t="s">
        <v>28</v>
      </c>
      <c r="M772" t="s">
        <v>93</v>
      </c>
      <c r="N772" t="s">
        <v>30</v>
      </c>
      <c r="O772" t="s">
        <v>31</v>
      </c>
      <c r="P772" t="s">
        <v>65</v>
      </c>
      <c r="Q772" t="s">
        <v>113</v>
      </c>
      <c r="R772" t="s">
        <v>324</v>
      </c>
      <c r="S772" t="s">
        <v>1996</v>
      </c>
    </row>
    <row r="773" ht="55" customHeight="1" spans="1:19">
      <c r="A773" s="1" t="str">
        <f>_xlfn.DISPIMG("ID_E19890B912264299A06F8F51583BCBB8",1)</f>
        <v>=DISPIMG("ID_E19890B912264299A06F8F51583BCBB8",1)</v>
      </c>
      <c r="B773" t="s">
        <v>132</v>
      </c>
      <c r="C773" t="s">
        <v>1997</v>
      </c>
      <c r="D773" t="s">
        <v>188</v>
      </c>
      <c r="E773" t="s">
        <v>144</v>
      </c>
      <c r="F773" t="s">
        <v>91</v>
      </c>
      <c r="G773" t="s">
        <v>383</v>
      </c>
      <c r="H773" t="s">
        <v>641</v>
      </c>
      <c r="I773" t="s">
        <v>137</v>
      </c>
      <c r="J773" t="s">
        <v>26</v>
      </c>
      <c r="K773" t="s">
        <v>27</v>
      </c>
      <c r="L773" t="s">
        <v>28</v>
      </c>
      <c r="M773" t="s">
        <v>93</v>
      </c>
      <c r="N773" t="s">
        <v>30</v>
      </c>
      <c r="O773" t="s">
        <v>31</v>
      </c>
      <c r="P773" t="s">
        <v>1039</v>
      </c>
      <c r="Q773" t="s">
        <v>76</v>
      </c>
      <c r="R773" t="s">
        <v>139</v>
      </c>
      <c r="S773" t="s">
        <v>1998</v>
      </c>
    </row>
    <row r="774" ht="55" customHeight="1" spans="1:19">
      <c r="A774" s="1" t="str">
        <f>_xlfn.DISPIMG("ID_3B5295A2B82342EF9A93D90C86871D5E",1)</f>
        <v>=DISPIMG("ID_3B5295A2B82342EF9A93D90C86871D5E",1)</v>
      </c>
      <c r="B774" t="s">
        <v>282</v>
      </c>
      <c r="C774" t="s">
        <v>1999</v>
      </c>
      <c r="D774" t="s">
        <v>143</v>
      </c>
      <c r="E774" t="s">
        <v>144</v>
      </c>
      <c r="F774" t="s">
        <v>40</v>
      </c>
      <c r="G774" t="s">
        <v>41</v>
      </c>
      <c r="H774" t="s">
        <v>144</v>
      </c>
      <c r="I774" t="s">
        <v>42</v>
      </c>
      <c r="J774" t="s">
        <v>26</v>
      </c>
      <c r="K774" t="s">
        <v>27</v>
      </c>
      <c r="L774" t="s">
        <v>28</v>
      </c>
      <c r="M774" t="s">
        <v>29</v>
      </c>
      <c r="N774" t="s">
        <v>64</v>
      </c>
      <c r="O774" t="s">
        <v>31</v>
      </c>
      <c r="P774" t="s">
        <v>301</v>
      </c>
      <c r="Q774" t="s">
        <v>255</v>
      </c>
      <c r="R774" t="s">
        <v>45</v>
      </c>
      <c r="S774" t="s">
        <v>2000</v>
      </c>
    </row>
    <row r="775" ht="55" customHeight="1" spans="1:19">
      <c r="A775" s="1" t="str">
        <f>_xlfn.DISPIMG("ID_57C00098FB174C8AAE4633218FE8B1B1",1)</f>
        <v>=DISPIMG("ID_57C00098FB174C8AAE4633218FE8B1B1",1)</v>
      </c>
      <c r="B775" t="s">
        <v>47</v>
      </c>
      <c r="C775" t="s">
        <v>150</v>
      </c>
      <c r="D775" t="s">
        <v>322</v>
      </c>
      <c r="E775" t="s">
        <v>211</v>
      </c>
      <c r="F775" t="s">
        <v>51</v>
      </c>
      <c r="G775" t="s">
        <v>500</v>
      </c>
      <c r="H775" t="s">
        <v>211</v>
      </c>
      <c r="I775" t="s">
        <v>25</v>
      </c>
      <c r="J775" t="s">
        <v>26</v>
      </c>
      <c r="K775" t="s">
        <v>27</v>
      </c>
      <c r="L775" t="s">
        <v>74</v>
      </c>
      <c r="M775" t="s">
        <v>29</v>
      </c>
      <c r="N775" t="s">
        <v>30</v>
      </c>
      <c r="O775" t="s">
        <v>31</v>
      </c>
      <c r="P775" t="s">
        <v>1013</v>
      </c>
      <c r="Q775" t="s">
        <v>2001</v>
      </c>
      <c r="R775" t="s">
        <v>147</v>
      </c>
      <c r="S775" t="s">
        <v>2002</v>
      </c>
    </row>
    <row r="776" ht="55" customHeight="1" spans="1:19">
      <c r="A776" s="1" t="str">
        <f>_xlfn.DISPIMG("ID_D256D88EF6E141B7A471A7AAD2C138D6",1)</f>
        <v>=DISPIMG("ID_D256D88EF6E141B7A471A7AAD2C138D6",1)</v>
      </c>
      <c r="B776" t="s">
        <v>470</v>
      </c>
      <c r="C776" t="s">
        <v>1784</v>
      </c>
      <c r="D776" t="s">
        <v>506</v>
      </c>
      <c r="E776" t="s">
        <v>445</v>
      </c>
      <c r="F776" t="s">
        <v>51</v>
      </c>
      <c r="G776" t="s">
        <v>1026</v>
      </c>
      <c r="H776" t="s">
        <v>445</v>
      </c>
      <c r="I776" t="s">
        <v>42</v>
      </c>
      <c r="J776" t="s">
        <v>26</v>
      </c>
      <c r="K776" t="s">
        <v>27</v>
      </c>
      <c r="L776" t="s">
        <v>28</v>
      </c>
      <c r="M776" t="s">
        <v>29</v>
      </c>
      <c r="N776" t="s">
        <v>64</v>
      </c>
      <c r="O776" t="s">
        <v>31</v>
      </c>
      <c r="P776" t="s">
        <v>2003</v>
      </c>
      <c r="Q776" t="s">
        <v>255</v>
      </c>
      <c r="R776" t="s">
        <v>409</v>
      </c>
      <c r="S776" t="s">
        <v>2004</v>
      </c>
    </row>
    <row r="777" ht="55" customHeight="1" spans="1:19">
      <c r="A777" s="1" t="str">
        <f>_xlfn.DISPIMG("ID_F12F6048839345E5AEE099D54512E9CB",1)</f>
        <v>=DISPIMG("ID_F12F6048839345E5AEE099D54512E9CB",1)</v>
      </c>
      <c r="B777" t="s">
        <v>476</v>
      </c>
      <c r="C777" t="s">
        <v>933</v>
      </c>
      <c r="D777" t="s">
        <v>304</v>
      </c>
      <c r="E777" t="s">
        <v>305</v>
      </c>
      <c r="F777" t="s">
        <v>40</v>
      </c>
      <c r="G777" t="s">
        <v>24</v>
      </c>
      <c r="H777" t="s">
        <v>50</v>
      </c>
      <c r="I777" t="s">
        <v>42</v>
      </c>
      <c r="J777" t="s">
        <v>26</v>
      </c>
      <c r="K777" t="s">
        <v>27</v>
      </c>
      <c r="L777" t="s">
        <v>53</v>
      </c>
      <c r="M777" t="s">
        <v>29</v>
      </c>
      <c r="N777" t="s">
        <v>30</v>
      </c>
      <c r="O777" t="s">
        <v>31</v>
      </c>
      <c r="P777" t="s">
        <v>463</v>
      </c>
      <c r="Q777" t="s">
        <v>190</v>
      </c>
      <c r="R777" t="s">
        <v>114</v>
      </c>
      <c r="S777" t="s">
        <v>2005</v>
      </c>
    </row>
    <row r="778" ht="55" customHeight="1" spans="1:19">
      <c r="A778" s="1" t="str">
        <f>_xlfn.DISPIMG("ID_67CF8CC90E104B549B3ADB1D37EC0BF5",1)</f>
        <v>=DISPIMG("ID_67CF8CC90E104B549B3ADB1D37EC0BF5",1)</v>
      </c>
      <c r="B778" t="s">
        <v>36</v>
      </c>
      <c r="C778" t="s">
        <v>80</v>
      </c>
      <c r="D778" t="s">
        <v>466</v>
      </c>
      <c r="E778" t="s">
        <v>50</v>
      </c>
      <c r="F778" t="s">
        <v>40</v>
      </c>
      <c r="G778" t="s">
        <v>246</v>
      </c>
      <c r="H778" t="s">
        <v>50</v>
      </c>
      <c r="I778" t="s">
        <v>42</v>
      </c>
      <c r="J778" t="s">
        <v>26</v>
      </c>
      <c r="K778" t="s">
        <v>27</v>
      </c>
      <c r="L778" t="s">
        <v>74</v>
      </c>
      <c r="M778" t="s">
        <v>29</v>
      </c>
      <c r="N778" t="s">
        <v>64</v>
      </c>
      <c r="O778" t="s">
        <v>31</v>
      </c>
      <c r="P778" t="s">
        <v>75</v>
      </c>
      <c r="Q778" t="s">
        <v>255</v>
      </c>
      <c r="R778" t="s">
        <v>45</v>
      </c>
      <c r="S778" t="s">
        <v>2006</v>
      </c>
    </row>
    <row r="779" ht="55" customHeight="1" spans="1:19">
      <c r="A779" s="1" t="str">
        <f>_xlfn.DISPIMG("ID_EDAACC3DB860409D8BFF1E23D129D815",1)</f>
        <v>=DISPIMG("ID_EDAACC3DB860409D8BFF1E23D129D815",1)</v>
      </c>
      <c r="B779" t="s">
        <v>366</v>
      </c>
      <c r="C779" t="s">
        <v>126</v>
      </c>
      <c r="D779" t="s">
        <v>375</v>
      </c>
      <c r="E779" t="s">
        <v>100</v>
      </c>
      <c r="F779" t="s">
        <v>245</v>
      </c>
      <c r="G779" t="s">
        <v>306</v>
      </c>
      <c r="H779" t="s">
        <v>100</v>
      </c>
      <c r="I779" t="s">
        <v>165</v>
      </c>
      <c r="J779" t="s">
        <v>26</v>
      </c>
      <c r="K779" t="s">
        <v>27</v>
      </c>
      <c r="L779" t="s">
        <v>231</v>
      </c>
      <c r="M779" t="s">
        <v>93</v>
      </c>
      <c r="N779" t="s">
        <v>30</v>
      </c>
      <c r="O779" t="s">
        <v>31</v>
      </c>
      <c r="P779" t="s">
        <v>138</v>
      </c>
      <c r="Q779" t="s">
        <v>167</v>
      </c>
      <c r="R779" t="s">
        <v>370</v>
      </c>
      <c r="S779" t="s">
        <v>2007</v>
      </c>
    </row>
    <row r="780" ht="55" customHeight="1" spans="1:19">
      <c r="A780" s="1" t="str">
        <f>_xlfn.DISPIMG("ID_C7177B2E520349439F9530A9EA4DB357",1)</f>
        <v>=DISPIMG("ID_C7177B2E520349439F9530A9EA4DB357",1)</v>
      </c>
      <c r="B780" t="s">
        <v>1822</v>
      </c>
      <c r="C780" t="s">
        <v>252</v>
      </c>
      <c r="D780" t="s">
        <v>253</v>
      </c>
      <c r="E780" t="s">
        <v>1041</v>
      </c>
      <c r="F780" t="s">
        <v>40</v>
      </c>
      <c r="G780" t="s">
        <v>181</v>
      </c>
      <c r="H780" t="s">
        <v>518</v>
      </c>
      <c r="I780" t="s">
        <v>42</v>
      </c>
      <c r="J780" t="s">
        <v>26</v>
      </c>
      <c r="K780" t="s">
        <v>27</v>
      </c>
      <c r="L780" t="s">
        <v>53</v>
      </c>
      <c r="M780" t="s">
        <v>29</v>
      </c>
      <c r="N780" t="s">
        <v>64</v>
      </c>
      <c r="O780" t="s">
        <v>31</v>
      </c>
      <c r="P780" t="s">
        <v>65</v>
      </c>
      <c r="Q780" t="s">
        <v>66</v>
      </c>
      <c r="R780" t="s">
        <v>2008</v>
      </c>
      <c r="S780" t="s">
        <v>2009</v>
      </c>
    </row>
    <row r="781" ht="55" customHeight="1" spans="1:19">
      <c r="A781" s="1" t="str">
        <f>_xlfn.DISPIMG("ID_0184CB27205543FEA7E9AE9282010D69",1)</f>
        <v>=DISPIMG("ID_0184CB27205543FEA7E9AE9282010D69",1)</v>
      </c>
      <c r="B781" t="s">
        <v>257</v>
      </c>
      <c r="C781" t="s">
        <v>150</v>
      </c>
      <c r="D781" t="s">
        <v>789</v>
      </c>
      <c r="E781" t="s">
        <v>164</v>
      </c>
      <c r="F781" t="s">
        <v>51</v>
      </c>
      <c r="G781" t="s">
        <v>229</v>
      </c>
      <c r="H781" t="s">
        <v>164</v>
      </c>
      <c r="I781" t="s">
        <v>25</v>
      </c>
      <c r="J781" t="s">
        <v>26</v>
      </c>
      <c r="K781" t="s">
        <v>27</v>
      </c>
      <c r="L781" t="s">
        <v>28</v>
      </c>
      <c r="M781" t="s">
        <v>29</v>
      </c>
      <c r="N781" t="s">
        <v>30</v>
      </c>
      <c r="O781" t="s">
        <v>31</v>
      </c>
      <c r="P781" t="s">
        <v>247</v>
      </c>
      <c r="Q781" t="s">
        <v>113</v>
      </c>
      <c r="R781" t="s">
        <v>263</v>
      </c>
      <c r="S781" t="s">
        <v>2010</v>
      </c>
    </row>
    <row r="782" ht="55" customHeight="1" spans="1:19">
      <c r="A782" s="1" t="str">
        <f>_xlfn.DISPIMG("ID_037D26FEA09F4CA18DD8B064D84EEDF6",1)</f>
        <v>=DISPIMG("ID_037D26FEA09F4CA18DD8B064D84EEDF6",1)</v>
      </c>
      <c r="B782" t="s">
        <v>366</v>
      </c>
      <c r="C782" t="s">
        <v>1025</v>
      </c>
      <c r="D782" t="s">
        <v>556</v>
      </c>
      <c r="E782" t="s">
        <v>72</v>
      </c>
      <c r="F782" t="s">
        <v>245</v>
      </c>
      <c r="G782" t="s">
        <v>216</v>
      </c>
      <c r="H782" t="s">
        <v>135</v>
      </c>
      <c r="I782" t="s">
        <v>165</v>
      </c>
      <c r="J782" t="s">
        <v>26</v>
      </c>
      <c r="K782" t="s">
        <v>27</v>
      </c>
      <c r="L782" t="s">
        <v>74</v>
      </c>
      <c r="M782" t="s">
        <v>93</v>
      </c>
      <c r="N782" t="s">
        <v>30</v>
      </c>
      <c r="O782" t="s">
        <v>31</v>
      </c>
      <c r="P782" t="s">
        <v>751</v>
      </c>
      <c r="Q782" t="s">
        <v>129</v>
      </c>
      <c r="R782" t="s">
        <v>147</v>
      </c>
      <c r="S782" t="s">
        <v>2011</v>
      </c>
    </row>
    <row r="783" ht="55" customHeight="1" spans="1:19">
      <c r="A783" s="1" t="str">
        <f>_xlfn.DISPIMG("ID_5D635B7765A949F1B4DC065454FFAF7B",1)</f>
        <v>=DISPIMG("ID_5D635B7765A949F1B4DC065454FFAF7B",1)</v>
      </c>
      <c r="B783" t="s">
        <v>125</v>
      </c>
      <c r="C783" t="s">
        <v>2012</v>
      </c>
      <c r="D783" t="s">
        <v>210</v>
      </c>
      <c r="E783" t="s">
        <v>1095</v>
      </c>
      <c r="F783" t="s">
        <v>91</v>
      </c>
      <c r="G783" t="s">
        <v>705</v>
      </c>
      <c r="H783" t="s">
        <v>1095</v>
      </c>
      <c r="I783" t="s">
        <v>42</v>
      </c>
      <c r="J783" t="s">
        <v>26</v>
      </c>
      <c r="K783" t="s">
        <v>27</v>
      </c>
      <c r="L783" t="s">
        <v>28</v>
      </c>
      <c r="M783" t="s">
        <v>93</v>
      </c>
      <c r="N783" t="s">
        <v>30</v>
      </c>
      <c r="O783" t="s">
        <v>31</v>
      </c>
      <c r="P783" t="s">
        <v>414</v>
      </c>
      <c r="Q783" t="s">
        <v>352</v>
      </c>
      <c r="R783" t="s">
        <v>130</v>
      </c>
      <c r="S783" t="s">
        <v>2013</v>
      </c>
    </row>
    <row r="784" ht="55" customHeight="1" spans="1:19">
      <c r="A784" s="1" t="str">
        <f>_xlfn.DISPIMG("ID_23956437FAE14FF1B70AC3E6B285BEFC",1)</f>
        <v>=DISPIMG("ID_23956437FAE14FF1B70AC3E6B285BEFC",1)</v>
      </c>
      <c r="B784" t="s">
        <v>465</v>
      </c>
      <c r="C784" t="s">
        <v>1097</v>
      </c>
      <c r="D784" t="s">
        <v>435</v>
      </c>
      <c r="E784" t="s">
        <v>63</v>
      </c>
      <c r="F784" t="s">
        <v>40</v>
      </c>
      <c r="G784" t="s">
        <v>136</v>
      </c>
      <c r="H784" t="s">
        <v>63</v>
      </c>
      <c r="I784" t="s">
        <v>42</v>
      </c>
      <c r="J784" t="s">
        <v>26</v>
      </c>
      <c r="K784" t="s">
        <v>27</v>
      </c>
      <c r="L784" t="s">
        <v>28</v>
      </c>
      <c r="M784" t="s">
        <v>29</v>
      </c>
      <c r="N784" t="s">
        <v>30</v>
      </c>
      <c r="O784" t="s">
        <v>31</v>
      </c>
      <c r="P784" t="s">
        <v>65</v>
      </c>
      <c r="Q784" t="s">
        <v>113</v>
      </c>
      <c r="R784" t="s">
        <v>45</v>
      </c>
      <c r="S784" t="s">
        <v>2014</v>
      </c>
    </row>
    <row r="785" ht="55" customHeight="1" spans="1:19">
      <c r="A785" s="1" t="str">
        <f>_xlfn.DISPIMG("ID_0A0C320A464E4D7E92F72119A16D46BC",1)</f>
        <v>=DISPIMG("ID_0A0C320A464E4D7E92F72119A16D46BC",1)</v>
      </c>
      <c r="B785" t="s">
        <v>366</v>
      </c>
      <c r="C785" t="s">
        <v>1445</v>
      </c>
      <c r="D785" t="s">
        <v>466</v>
      </c>
      <c r="E785" t="s">
        <v>357</v>
      </c>
      <c r="F785" t="s">
        <v>245</v>
      </c>
      <c r="G785" t="s">
        <v>1725</v>
      </c>
      <c r="H785" t="s">
        <v>357</v>
      </c>
      <c r="I785" t="s">
        <v>165</v>
      </c>
      <c r="J785" t="s">
        <v>26</v>
      </c>
      <c r="K785" t="s">
        <v>27</v>
      </c>
      <c r="L785" t="s">
        <v>28</v>
      </c>
      <c r="M785" t="s">
        <v>93</v>
      </c>
      <c r="N785" t="s">
        <v>30</v>
      </c>
      <c r="O785" t="s">
        <v>31</v>
      </c>
      <c r="P785" t="s">
        <v>54</v>
      </c>
      <c r="Q785" t="s">
        <v>297</v>
      </c>
      <c r="R785" t="s">
        <v>370</v>
      </c>
      <c r="S785" t="s">
        <v>2015</v>
      </c>
    </row>
    <row r="786" ht="55" customHeight="1" spans="1:19">
      <c r="A786" s="1" t="str">
        <f>_xlfn.DISPIMG("ID_EA9008FDFBB247729195D9442013D7F9",1)</f>
        <v>=DISPIMG("ID_EA9008FDFBB247729195D9442013D7F9",1)</v>
      </c>
      <c r="B786" t="s">
        <v>707</v>
      </c>
      <c r="C786" t="s">
        <v>1234</v>
      </c>
      <c r="D786" t="s">
        <v>536</v>
      </c>
      <c r="E786" t="s">
        <v>27</v>
      </c>
      <c r="F786" t="s">
        <v>245</v>
      </c>
      <c r="G786" t="s">
        <v>538</v>
      </c>
      <c r="H786" t="s">
        <v>27</v>
      </c>
      <c r="I786" t="s">
        <v>165</v>
      </c>
      <c r="J786" t="s">
        <v>26</v>
      </c>
      <c r="K786" t="s">
        <v>27</v>
      </c>
      <c r="L786" t="s">
        <v>329</v>
      </c>
      <c r="M786" t="s">
        <v>93</v>
      </c>
      <c r="N786" t="s">
        <v>30</v>
      </c>
      <c r="O786" t="s">
        <v>31</v>
      </c>
      <c r="P786" t="s">
        <v>2016</v>
      </c>
      <c r="Q786" t="s">
        <v>113</v>
      </c>
      <c r="R786" t="s">
        <v>249</v>
      </c>
      <c r="S786" t="s">
        <v>2017</v>
      </c>
    </row>
    <row r="787" ht="55" customHeight="1" spans="1:19">
      <c r="A787" s="1" t="str">
        <f>_xlfn.DISPIMG("ID_B57AE406A74541AAB1A084887A753413",1)</f>
        <v>=DISPIMG("ID_B57AE406A74541AAB1A084887A753413",1)</v>
      </c>
      <c r="B787" t="s">
        <v>2018</v>
      </c>
      <c r="C787" t="s">
        <v>430</v>
      </c>
      <c r="D787" t="s">
        <v>681</v>
      </c>
      <c r="E787" t="s">
        <v>82</v>
      </c>
      <c r="F787" t="s">
        <v>91</v>
      </c>
      <c r="G787" t="s">
        <v>312</v>
      </c>
      <c r="H787" t="s">
        <v>84</v>
      </c>
      <c r="I787" t="s">
        <v>175</v>
      </c>
      <c r="J787" t="s">
        <v>26</v>
      </c>
      <c r="K787" t="s">
        <v>27</v>
      </c>
      <c r="L787" t="s">
        <v>231</v>
      </c>
      <c r="M787" t="s">
        <v>93</v>
      </c>
      <c r="N787" t="s">
        <v>30</v>
      </c>
      <c r="O787" t="s">
        <v>31</v>
      </c>
      <c r="P787" t="s">
        <v>221</v>
      </c>
      <c r="Q787" t="s">
        <v>2019</v>
      </c>
      <c r="R787" t="s">
        <v>2020</v>
      </c>
      <c r="S787" t="s">
        <v>2021</v>
      </c>
    </row>
    <row r="788" ht="55" customHeight="1" spans="1:19">
      <c r="A788" s="1" t="str">
        <f>_xlfn.DISPIMG("ID_7F035E7383E148BEA11C572E0C5FE7FB",1)</f>
        <v>=DISPIMG("ID_7F035E7383E148BEA11C572E0C5FE7FB",1)</v>
      </c>
      <c r="B788" t="s">
        <v>465</v>
      </c>
      <c r="C788" t="s">
        <v>951</v>
      </c>
      <c r="D788" t="s">
        <v>244</v>
      </c>
      <c r="E788" t="s">
        <v>164</v>
      </c>
      <c r="F788" t="s">
        <v>40</v>
      </c>
      <c r="G788" t="s">
        <v>312</v>
      </c>
      <c r="H788" t="s">
        <v>164</v>
      </c>
      <c r="I788" t="s">
        <v>42</v>
      </c>
      <c r="J788" t="s">
        <v>26</v>
      </c>
      <c r="K788" t="s">
        <v>27</v>
      </c>
      <c r="L788" t="s">
        <v>28</v>
      </c>
      <c r="M788" t="s">
        <v>29</v>
      </c>
      <c r="N788" t="s">
        <v>30</v>
      </c>
      <c r="O788" t="s">
        <v>31</v>
      </c>
      <c r="P788" t="s">
        <v>543</v>
      </c>
      <c r="Q788" t="s">
        <v>612</v>
      </c>
      <c r="R788" t="s">
        <v>45</v>
      </c>
      <c r="S788" t="s">
        <v>2022</v>
      </c>
    </row>
    <row r="789" ht="55" customHeight="1" spans="1:19">
      <c r="A789" s="1" t="str">
        <f>_xlfn.DISPIMG("ID_AA6DB6593DC544EA904CE4267A60B4AA",1)</f>
        <v>=DISPIMG("ID_AA6DB6593DC544EA904CE4267A60B4AA",1)</v>
      </c>
      <c r="B789" t="s">
        <v>2023</v>
      </c>
      <c r="C789" t="s">
        <v>219</v>
      </c>
      <c r="D789" t="s">
        <v>1160</v>
      </c>
      <c r="E789" t="s">
        <v>84</v>
      </c>
      <c r="F789" t="s">
        <v>878</v>
      </c>
      <c r="G789" t="s">
        <v>2024</v>
      </c>
      <c r="H789" t="s">
        <v>84</v>
      </c>
      <c r="I789" t="s">
        <v>165</v>
      </c>
      <c r="J789" t="s">
        <v>230</v>
      </c>
      <c r="K789" t="s">
        <v>27</v>
      </c>
      <c r="L789" t="s">
        <v>28</v>
      </c>
      <c r="M789" t="s">
        <v>93</v>
      </c>
      <c r="N789" t="s">
        <v>30</v>
      </c>
      <c r="O789" t="s">
        <v>31</v>
      </c>
      <c r="P789" t="s">
        <v>75</v>
      </c>
      <c r="Q789" t="s">
        <v>76</v>
      </c>
      <c r="R789" t="s">
        <v>2025</v>
      </c>
      <c r="S789" t="s">
        <v>2026</v>
      </c>
    </row>
    <row r="790" ht="55" customHeight="1" spans="1:19">
      <c r="A790" s="1" t="str">
        <f>_xlfn.DISPIMG("ID_5C8FA09CD6024CD78A29649B8B38E576",1)</f>
        <v>=DISPIMG("ID_5C8FA09CD6024CD78A29649B8B38E576",1)</v>
      </c>
      <c r="B790" t="s">
        <v>106</v>
      </c>
      <c r="C790" t="s">
        <v>2027</v>
      </c>
      <c r="D790" t="s">
        <v>310</v>
      </c>
      <c r="E790" t="s">
        <v>311</v>
      </c>
      <c r="F790" t="s">
        <v>40</v>
      </c>
      <c r="G790" t="s">
        <v>127</v>
      </c>
      <c r="H790" t="s">
        <v>39</v>
      </c>
      <c r="I790" t="s">
        <v>42</v>
      </c>
      <c r="J790" t="s">
        <v>26</v>
      </c>
      <c r="K790" t="s">
        <v>27</v>
      </c>
      <c r="L790" t="s">
        <v>74</v>
      </c>
      <c r="M790" t="s">
        <v>29</v>
      </c>
      <c r="N790" t="s">
        <v>30</v>
      </c>
      <c r="O790" t="s">
        <v>31</v>
      </c>
      <c r="P790" t="s">
        <v>154</v>
      </c>
      <c r="Q790" t="s">
        <v>539</v>
      </c>
      <c r="R790" t="s">
        <v>114</v>
      </c>
      <c r="S790" t="s">
        <v>2028</v>
      </c>
    </row>
    <row r="791" ht="55" customHeight="1" spans="1:19">
      <c r="A791" s="1" t="str">
        <f>_xlfn.DISPIMG("ID_4F238D2CA42A4B3A8529CE9E428DB41A",1)</f>
        <v>=DISPIMG("ID_4F238D2CA42A4B3A8529CE9E428DB41A",1)</v>
      </c>
      <c r="B791" t="s">
        <v>97</v>
      </c>
      <c r="C791" t="s">
        <v>2029</v>
      </c>
      <c r="D791" t="s">
        <v>108</v>
      </c>
      <c r="E791" t="s">
        <v>109</v>
      </c>
      <c r="F791" t="s">
        <v>51</v>
      </c>
      <c r="G791" t="s">
        <v>312</v>
      </c>
      <c r="H791" t="s">
        <v>111</v>
      </c>
      <c r="I791" t="s">
        <v>42</v>
      </c>
      <c r="J791" t="s">
        <v>26</v>
      </c>
      <c r="K791" t="s">
        <v>27</v>
      </c>
      <c r="L791" t="s">
        <v>74</v>
      </c>
      <c r="M791" t="s">
        <v>29</v>
      </c>
      <c r="N791" t="s">
        <v>30</v>
      </c>
      <c r="O791" t="s">
        <v>31</v>
      </c>
      <c r="P791" t="s">
        <v>54</v>
      </c>
      <c r="Q791" t="s">
        <v>725</v>
      </c>
      <c r="R791" t="s">
        <v>104</v>
      </c>
      <c r="S791" t="s">
        <v>2030</v>
      </c>
    </row>
    <row r="792" ht="55" customHeight="1" spans="1:19">
      <c r="A792" s="1" t="str">
        <f>_xlfn.DISPIMG("ID_C5BCD41C2D8748C1B3BDD999E4FAD5E1",1)</f>
        <v>=DISPIMG("ID_C5BCD41C2D8748C1B3BDD999E4FAD5E1",1)</v>
      </c>
      <c r="B792" t="s">
        <v>265</v>
      </c>
      <c r="C792" t="s">
        <v>258</v>
      </c>
      <c r="D792" t="s">
        <v>1160</v>
      </c>
      <c r="E792" t="s">
        <v>461</v>
      </c>
      <c r="F792" t="s">
        <v>51</v>
      </c>
      <c r="G792" t="s">
        <v>350</v>
      </c>
      <c r="H792" t="s">
        <v>461</v>
      </c>
      <c r="I792" t="s">
        <v>25</v>
      </c>
      <c r="J792" t="s">
        <v>26</v>
      </c>
      <c r="K792" t="s">
        <v>27</v>
      </c>
      <c r="L792" t="s">
        <v>28</v>
      </c>
      <c r="M792" t="s">
        <v>29</v>
      </c>
      <c r="N792" t="s">
        <v>30</v>
      </c>
      <c r="O792" t="s">
        <v>31</v>
      </c>
      <c r="P792" t="s">
        <v>154</v>
      </c>
      <c r="Q792" t="s">
        <v>66</v>
      </c>
      <c r="R792" t="s">
        <v>270</v>
      </c>
      <c r="S792" t="s">
        <v>2031</v>
      </c>
    </row>
    <row r="793" ht="55" customHeight="1" spans="1:19">
      <c r="A793" s="1" t="str">
        <f>_xlfn.DISPIMG("ID_F6CE8DA605464BBF960F0B539AEE6A0B",1)</f>
        <v>=DISPIMG("ID_F6CE8DA605464BBF960F0B539AEE6A0B",1)</v>
      </c>
      <c r="B793" t="s">
        <v>818</v>
      </c>
      <c r="C793" t="s">
        <v>1156</v>
      </c>
      <c r="D793" t="s">
        <v>188</v>
      </c>
      <c r="E793" t="s">
        <v>144</v>
      </c>
      <c r="F793" t="s">
        <v>173</v>
      </c>
      <c r="G793" t="s">
        <v>41</v>
      </c>
      <c r="H793" t="s">
        <v>144</v>
      </c>
      <c r="I793" t="s">
        <v>175</v>
      </c>
      <c r="J793" t="s">
        <v>26</v>
      </c>
      <c r="K793" t="s">
        <v>27</v>
      </c>
      <c r="L793" t="s">
        <v>28</v>
      </c>
      <c r="M793" t="s">
        <v>93</v>
      </c>
      <c r="N793" t="s">
        <v>30</v>
      </c>
      <c r="O793" t="s">
        <v>31</v>
      </c>
      <c r="P793" t="s">
        <v>285</v>
      </c>
      <c r="Q793" t="s">
        <v>2032</v>
      </c>
      <c r="R793" t="s">
        <v>820</v>
      </c>
      <c r="S793" t="s">
        <v>2033</v>
      </c>
    </row>
    <row r="794" ht="55" customHeight="1" spans="1:19">
      <c r="A794" s="1" t="str">
        <f>_xlfn.DISPIMG("ID_8BFB31DB08B8406EAA4CCD59031AD965",1)</f>
        <v>=DISPIMG("ID_8BFB31DB08B8406EAA4CCD59031AD965",1)</v>
      </c>
      <c r="B794" t="s">
        <v>385</v>
      </c>
      <c r="C794" t="s">
        <v>2034</v>
      </c>
      <c r="D794" t="s">
        <v>143</v>
      </c>
      <c r="E794" t="s">
        <v>144</v>
      </c>
      <c r="F794" t="s">
        <v>40</v>
      </c>
      <c r="G794" t="s">
        <v>205</v>
      </c>
      <c r="H794" t="s">
        <v>144</v>
      </c>
      <c r="I794" t="s">
        <v>25</v>
      </c>
      <c r="J794" t="s">
        <v>26</v>
      </c>
      <c r="K794" t="s">
        <v>27</v>
      </c>
      <c r="L794" t="s">
        <v>53</v>
      </c>
      <c r="M794" t="s">
        <v>29</v>
      </c>
      <c r="N794" t="s">
        <v>30</v>
      </c>
      <c r="O794" t="s">
        <v>31</v>
      </c>
      <c r="P794" t="s">
        <v>75</v>
      </c>
      <c r="Q794" t="s">
        <v>113</v>
      </c>
      <c r="R794" t="s">
        <v>389</v>
      </c>
      <c r="S794" t="s">
        <v>2035</v>
      </c>
    </row>
    <row r="795" ht="55" customHeight="1" spans="1:19">
      <c r="A795" s="1" t="str">
        <f>_xlfn.DISPIMG("ID_F4C7AB9EC1F74E638B3DF926626CB531",1)</f>
        <v>=DISPIMG("ID_F4C7AB9EC1F74E638B3DF926626CB531",1)</v>
      </c>
      <c r="B795" t="s">
        <v>257</v>
      </c>
      <c r="C795" t="s">
        <v>2036</v>
      </c>
      <c r="D795" t="s">
        <v>664</v>
      </c>
      <c r="E795" t="s">
        <v>929</v>
      </c>
      <c r="F795" t="s">
        <v>51</v>
      </c>
      <c r="G795" t="s">
        <v>495</v>
      </c>
      <c r="H795" t="s">
        <v>357</v>
      </c>
      <c r="I795" t="s">
        <v>25</v>
      </c>
      <c r="J795" t="s">
        <v>26</v>
      </c>
      <c r="K795" t="s">
        <v>27</v>
      </c>
      <c r="L795" t="s">
        <v>28</v>
      </c>
      <c r="M795" t="s">
        <v>29</v>
      </c>
      <c r="N795" t="s">
        <v>30</v>
      </c>
      <c r="O795" t="s">
        <v>31</v>
      </c>
      <c r="P795" t="s">
        <v>146</v>
      </c>
      <c r="Q795" t="s">
        <v>297</v>
      </c>
      <c r="R795" t="s">
        <v>263</v>
      </c>
      <c r="S795" t="s">
        <v>2037</v>
      </c>
    </row>
    <row r="796" ht="55" customHeight="1" spans="1:19">
      <c r="A796" s="1" t="str">
        <f>_xlfn.DISPIMG("ID_5009ADA165814EB4AECC72CCD4A8AE32",1)</f>
        <v>=DISPIMG("ID_5009ADA165814EB4AECC72CCD4A8AE32",1)</v>
      </c>
      <c r="B796" t="s">
        <v>242</v>
      </c>
      <c r="C796" t="s">
        <v>1402</v>
      </c>
      <c r="D796" t="s">
        <v>483</v>
      </c>
      <c r="E796" t="s">
        <v>328</v>
      </c>
      <c r="F796" t="s">
        <v>245</v>
      </c>
      <c r="G796" t="s">
        <v>120</v>
      </c>
      <c r="H796" t="s">
        <v>119</v>
      </c>
      <c r="I796" t="s">
        <v>165</v>
      </c>
      <c r="J796" t="s">
        <v>26</v>
      </c>
      <c r="K796" t="s">
        <v>27</v>
      </c>
      <c r="L796" t="s">
        <v>557</v>
      </c>
      <c r="M796" t="s">
        <v>93</v>
      </c>
      <c r="N796" t="s">
        <v>30</v>
      </c>
      <c r="O796" t="s">
        <v>31</v>
      </c>
      <c r="P796" t="s">
        <v>198</v>
      </c>
      <c r="Q796" t="s">
        <v>255</v>
      </c>
      <c r="R796" t="s">
        <v>249</v>
      </c>
      <c r="S796" t="s">
        <v>2038</v>
      </c>
    </row>
    <row r="797" ht="55" customHeight="1" spans="1:19">
      <c r="A797" s="1" t="str">
        <f>_xlfn.DISPIMG("ID_6178244E096F4456912D30EE1527DDDE",1)</f>
        <v>=DISPIMG("ID_6178244E096F4456912D30EE1527DDDE",1)</v>
      </c>
      <c r="B797" t="s">
        <v>366</v>
      </c>
      <c r="C797" t="s">
        <v>258</v>
      </c>
      <c r="D797" t="s">
        <v>556</v>
      </c>
      <c r="E797" t="s">
        <v>72</v>
      </c>
      <c r="F797" t="s">
        <v>245</v>
      </c>
      <c r="G797" t="s">
        <v>41</v>
      </c>
      <c r="H797" t="s">
        <v>72</v>
      </c>
      <c r="I797" t="s">
        <v>165</v>
      </c>
      <c r="J797" t="s">
        <v>26</v>
      </c>
      <c r="K797" t="s">
        <v>27</v>
      </c>
      <c r="L797" t="s">
        <v>231</v>
      </c>
      <c r="M797" t="s">
        <v>93</v>
      </c>
      <c r="N797" t="s">
        <v>30</v>
      </c>
      <c r="O797" t="s">
        <v>31</v>
      </c>
      <c r="P797" t="s">
        <v>221</v>
      </c>
      <c r="Q797" t="s">
        <v>1663</v>
      </c>
      <c r="R797" t="s">
        <v>147</v>
      </c>
      <c r="S797" t="s">
        <v>2039</v>
      </c>
    </row>
    <row r="798" ht="55" customHeight="1" spans="1:19">
      <c r="A798" s="1" t="str">
        <f>_xlfn.DISPIMG("ID_E65D2AD970324AE8BFAD3BA665767DEA",1)</f>
        <v>=DISPIMG("ID_E65D2AD970324AE8BFAD3BA665767DEA",1)</v>
      </c>
      <c r="B798" t="s">
        <v>366</v>
      </c>
      <c r="C798" t="s">
        <v>333</v>
      </c>
      <c r="D798" t="s">
        <v>435</v>
      </c>
      <c r="E798" t="s">
        <v>63</v>
      </c>
      <c r="F798" t="s">
        <v>245</v>
      </c>
      <c r="G798" t="s">
        <v>246</v>
      </c>
      <c r="H798" t="s">
        <v>63</v>
      </c>
      <c r="I798" t="s">
        <v>165</v>
      </c>
      <c r="J798" t="s">
        <v>26</v>
      </c>
      <c r="K798" t="s">
        <v>27</v>
      </c>
      <c r="L798" t="s">
        <v>231</v>
      </c>
      <c r="M798" t="s">
        <v>93</v>
      </c>
      <c r="N798" t="s">
        <v>30</v>
      </c>
      <c r="O798" t="s">
        <v>31</v>
      </c>
      <c r="P798" t="s">
        <v>65</v>
      </c>
      <c r="Q798" t="s">
        <v>725</v>
      </c>
      <c r="R798" t="s">
        <v>370</v>
      </c>
      <c r="S798" t="s">
        <v>2040</v>
      </c>
    </row>
    <row r="799" ht="55" customHeight="1" spans="1:19">
      <c r="A799" s="1" t="str">
        <f>_xlfn.DISPIMG("ID_BAE806728EB74450AA2B5D86858EB3CF",1)</f>
        <v>=DISPIMG("ID_BAE806728EB74450AA2B5D86858EB3CF",1)</v>
      </c>
      <c r="B799" t="s">
        <v>106</v>
      </c>
      <c r="C799" t="s">
        <v>1566</v>
      </c>
      <c r="D799" t="s">
        <v>304</v>
      </c>
      <c r="E799" t="s">
        <v>929</v>
      </c>
      <c r="F799" t="s">
        <v>40</v>
      </c>
      <c r="G799" t="s">
        <v>2041</v>
      </c>
      <c r="H799" t="s">
        <v>357</v>
      </c>
      <c r="I799" t="s">
        <v>42</v>
      </c>
      <c r="J799" t="s">
        <v>26</v>
      </c>
      <c r="K799" t="s">
        <v>27</v>
      </c>
      <c r="L799" t="s">
        <v>28</v>
      </c>
      <c r="M799" t="s">
        <v>29</v>
      </c>
      <c r="N799" t="s">
        <v>64</v>
      </c>
      <c r="O799" t="s">
        <v>31</v>
      </c>
      <c r="P799" t="s">
        <v>698</v>
      </c>
      <c r="Q799" t="s">
        <v>677</v>
      </c>
      <c r="R799" t="s">
        <v>147</v>
      </c>
      <c r="S799" t="s">
        <v>2042</v>
      </c>
    </row>
    <row r="800" ht="55" customHeight="1" spans="1:19">
      <c r="A800" s="1" t="str">
        <f>_xlfn.DISPIMG("ID_3A1DAB5EAF4349BB8270B3B268183F72",1)</f>
        <v>=DISPIMG("ID_3A1DAB5EAF4349BB8270B3B268183F72",1)</v>
      </c>
      <c r="B800" t="s">
        <v>201</v>
      </c>
      <c r="C800" t="s">
        <v>611</v>
      </c>
      <c r="D800" t="s">
        <v>435</v>
      </c>
      <c r="E800" t="s">
        <v>63</v>
      </c>
      <c r="F800" t="s">
        <v>40</v>
      </c>
      <c r="G800" t="s">
        <v>1207</v>
      </c>
      <c r="H800" t="s">
        <v>63</v>
      </c>
      <c r="I800" t="s">
        <v>42</v>
      </c>
      <c r="J800" t="s">
        <v>26</v>
      </c>
      <c r="K800" t="s">
        <v>27</v>
      </c>
      <c r="L800" t="s">
        <v>28</v>
      </c>
      <c r="M800" t="s">
        <v>29</v>
      </c>
      <c r="N800" t="s">
        <v>30</v>
      </c>
      <c r="O800" t="s">
        <v>31</v>
      </c>
      <c r="P800" t="s">
        <v>65</v>
      </c>
      <c r="Q800" t="s">
        <v>2043</v>
      </c>
      <c r="R800" t="s">
        <v>86</v>
      </c>
      <c r="S800" t="s">
        <v>2044</v>
      </c>
    </row>
    <row r="801" ht="55" customHeight="1" spans="1:19">
      <c r="A801" s="1" t="str">
        <f>_xlfn.DISPIMG("ID_AE8F66719DF543C78ECDCF7CF36BC4A1",1)</f>
        <v>=DISPIMG("ID_AE8F66719DF543C78ECDCF7CF36BC4A1",1)</v>
      </c>
      <c r="B801" t="s">
        <v>236</v>
      </c>
      <c r="C801" t="s">
        <v>407</v>
      </c>
      <c r="D801" t="s">
        <v>188</v>
      </c>
      <c r="E801" t="s">
        <v>144</v>
      </c>
      <c r="F801" t="s">
        <v>51</v>
      </c>
      <c r="G801" t="s">
        <v>334</v>
      </c>
      <c r="H801" t="s">
        <v>144</v>
      </c>
      <c r="I801" t="s">
        <v>42</v>
      </c>
      <c r="J801" t="s">
        <v>26</v>
      </c>
      <c r="K801" t="s">
        <v>27</v>
      </c>
      <c r="L801" t="s">
        <v>74</v>
      </c>
      <c r="M801" t="s">
        <v>29</v>
      </c>
      <c r="N801" t="s">
        <v>30</v>
      </c>
      <c r="O801" t="s">
        <v>31</v>
      </c>
      <c r="P801" t="s">
        <v>285</v>
      </c>
      <c r="Q801" t="s">
        <v>255</v>
      </c>
      <c r="R801" t="s">
        <v>104</v>
      </c>
      <c r="S801" t="s">
        <v>2045</v>
      </c>
    </row>
    <row r="802" ht="55" customHeight="1" spans="1:19">
      <c r="A802" s="1" t="str">
        <f>_xlfn.DISPIMG("ID_A17B3AA9D42A48E3B4D2F997854EF01E",1)</f>
        <v>=DISPIMG("ID_A17B3AA9D42A48E3B4D2F997854EF01E",1)</v>
      </c>
      <c r="B802" t="s">
        <v>2046</v>
      </c>
      <c r="C802" t="s">
        <v>2047</v>
      </c>
      <c r="D802" t="s">
        <v>1160</v>
      </c>
      <c r="E802" t="s">
        <v>461</v>
      </c>
      <c r="F802" t="s">
        <v>173</v>
      </c>
      <c r="G802" t="s">
        <v>2048</v>
      </c>
      <c r="H802" t="s">
        <v>461</v>
      </c>
      <c r="I802" t="s">
        <v>175</v>
      </c>
      <c r="J802" t="s">
        <v>230</v>
      </c>
      <c r="K802" t="s">
        <v>27</v>
      </c>
      <c r="L802" t="s">
        <v>28</v>
      </c>
      <c r="M802" t="s">
        <v>93</v>
      </c>
      <c r="N802" t="s">
        <v>30</v>
      </c>
      <c r="O802" t="s">
        <v>31</v>
      </c>
      <c r="P802" t="s">
        <v>128</v>
      </c>
      <c r="Q802" t="s">
        <v>2049</v>
      </c>
      <c r="R802" t="s">
        <v>147</v>
      </c>
      <c r="S802" t="s">
        <v>2050</v>
      </c>
    </row>
    <row r="803" ht="55" customHeight="1" spans="1:19">
      <c r="A803" s="1" t="str">
        <f>_xlfn.DISPIMG("ID_AE44759B755E4F868F5C21789EE2CB23",1)</f>
        <v>=DISPIMG("ID_AE44759B755E4F868F5C21789EE2CB23",1)</v>
      </c>
      <c r="B803" t="s">
        <v>2051</v>
      </c>
      <c r="C803" t="s">
        <v>2052</v>
      </c>
      <c r="D803" t="s">
        <v>536</v>
      </c>
      <c r="E803" t="s">
        <v>27</v>
      </c>
      <c r="F803" t="s">
        <v>40</v>
      </c>
      <c r="G803" t="s">
        <v>538</v>
      </c>
      <c r="H803" t="s">
        <v>27</v>
      </c>
      <c r="I803" t="s">
        <v>42</v>
      </c>
      <c r="J803" t="s">
        <v>26</v>
      </c>
      <c r="K803" t="s">
        <v>27</v>
      </c>
      <c r="L803" t="s">
        <v>28</v>
      </c>
      <c r="M803" t="s">
        <v>29</v>
      </c>
      <c r="N803" t="s">
        <v>30</v>
      </c>
      <c r="O803" t="s">
        <v>31</v>
      </c>
      <c r="P803" t="s">
        <v>414</v>
      </c>
      <c r="Q803" t="s">
        <v>807</v>
      </c>
      <c r="R803" t="s">
        <v>45</v>
      </c>
      <c r="S803" t="s">
        <v>2053</v>
      </c>
    </row>
    <row r="804" ht="55" customHeight="1" spans="1:19">
      <c r="A804" s="1" t="str">
        <f>_xlfn.DISPIMG("ID_CECFD9ECA2A249829A487E7F449FF48F",1)</f>
        <v>=DISPIMG("ID_CECFD9ECA2A249829A487E7F449FF48F",1)</v>
      </c>
      <c r="B804" t="s">
        <v>406</v>
      </c>
      <c r="C804" t="s">
        <v>2054</v>
      </c>
      <c r="D804" t="s">
        <v>750</v>
      </c>
      <c r="E804" t="s">
        <v>316</v>
      </c>
      <c r="F804" t="s">
        <v>40</v>
      </c>
      <c r="G804" t="s">
        <v>41</v>
      </c>
      <c r="H804" t="s">
        <v>144</v>
      </c>
      <c r="I804" t="s">
        <v>42</v>
      </c>
      <c r="J804" t="s">
        <v>26</v>
      </c>
      <c r="K804" t="s">
        <v>27</v>
      </c>
      <c r="L804" t="s">
        <v>53</v>
      </c>
      <c r="M804" t="s">
        <v>29</v>
      </c>
      <c r="N804" t="s">
        <v>30</v>
      </c>
      <c r="O804" t="s">
        <v>31</v>
      </c>
      <c r="P804" t="s">
        <v>221</v>
      </c>
      <c r="Q804" t="s">
        <v>85</v>
      </c>
      <c r="R804" t="s">
        <v>409</v>
      </c>
      <c r="S804" t="s">
        <v>2055</v>
      </c>
    </row>
    <row r="805" ht="55" customHeight="1" spans="1:19">
      <c r="A805" s="1" t="str">
        <f>_xlfn.DISPIMG("ID_77DCE41D430C4FB6B6958D53FECDA758",1)</f>
        <v>=DISPIMG("ID_77DCE41D430C4FB6B6958D53FECDA758",1)</v>
      </c>
      <c r="B805" t="s">
        <v>242</v>
      </c>
      <c r="C805" t="s">
        <v>867</v>
      </c>
      <c r="D805" t="s">
        <v>244</v>
      </c>
      <c r="E805" t="s">
        <v>659</v>
      </c>
      <c r="F805" t="s">
        <v>245</v>
      </c>
      <c r="G805" t="s">
        <v>306</v>
      </c>
      <c r="H805" t="s">
        <v>659</v>
      </c>
      <c r="I805" t="s">
        <v>165</v>
      </c>
      <c r="J805" t="s">
        <v>26</v>
      </c>
      <c r="K805" t="s">
        <v>27</v>
      </c>
      <c r="L805" t="s">
        <v>323</v>
      </c>
      <c r="M805" t="s">
        <v>93</v>
      </c>
      <c r="N805" t="s">
        <v>30</v>
      </c>
      <c r="O805" t="s">
        <v>31</v>
      </c>
      <c r="P805" t="s">
        <v>138</v>
      </c>
      <c r="Q805" t="s">
        <v>55</v>
      </c>
      <c r="R805" t="s">
        <v>249</v>
      </c>
      <c r="S805" t="s">
        <v>2056</v>
      </c>
    </row>
    <row r="806" ht="55" customHeight="1" spans="1:19">
      <c r="A806" s="1" t="str">
        <f>_xlfn.DISPIMG("ID_C9BDD0C2E21C45D6A034030A9E514B63",1)</f>
        <v>=DISPIMG("ID_C9BDD0C2E21C45D6A034030A9E514B63",1)</v>
      </c>
      <c r="B806" t="s">
        <v>610</v>
      </c>
      <c r="C806" t="s">
        <v>283</v>
      </c>
      <c r="D806" t="s">
        <v>143</v>
      </c>
      <c r="E806" t="s">
        <v>144</v>
      </c>
      <c r="F806" t="s">
        <v>40</v>
      </c>
      <c r="G806" t="s">
        <v>831</v>
      </c>
      <c r="H806" t="s">
        <v>144</v>
      </c>
      <c r="I806" t="s">
        <v>25</v>
      </c>
      <c r="J806" t="s">
        <v>26</v>
      </c>
      <c r="K806" t="s">
        <v>27</v>
      </c>
      <c r="L806" t="s">
        <v>557</v>
      </c>
      <c r="M806" t="s">
        <v>29</v>
      </c>
      <c r="N806" t="s">
        <v>30</v>
      </c>
      <c r="O806" t="s">
        <v>31</v>
      </c>
      <c r="P806" t="s">
        <v>301</v>
      </c>
      <c r="Q806" t="s">
        <v>468</v>
      </c>
      <c r="R806" t="s">
        <v>945</v>
      </c>
      <c r="S806" t="s">
        <v>2057</v>
      </c>
    </row>
    <row r="807" ht="55" customHeight="1" spans="1:19">
      <c r="A807" s="1" t="str">
        <f>_xlfn.DISPIMG("ID_258E6936E7ED4B5EB8B6F660ADAF7E50",1)</f>
        <v>=DISPIMG("ID_258E6936E7ED4B5EB8B6F660ADAF7E50",1)</v>
      </c>
      <c r="B807" t="s">
        <v>366</v>
      </c>
      <c r="C807" t="s">
        <v>936</v>
      </c>
      <c r="D807" t="s">
        <v>375</v>
      </c>
      <c r="E807" t="s">
        <v>100</v>
      </c>
      <c r="F807" t="s">
        <v>245</v>
      </c>
      <c r="G807" t="s">
        <v>436</v>
      </c>
      <c r="H807" t="s">
        <v>100</v>
      </c>
      <c r="I807" t="s">
        <v>165</v>
      </c>
      <c r="J807" t="s">
        <v>26</v>
      </c>
      <c r="K807" t="s">
        <v>27</v>
      </c>
      <c r="L807" t="s">
        <v>231</v>
      </c>
      <c r="M807" t="s">
        <v>93</v>
      </c>
      <c r="N807" t="s">
        <v>30</v>
      </c>
      <c r="O807" t="s">
        <v>31</v>
      </c>
      <c r="P807" t="s">
        <v>247</v>
      </c>
      <c r="Q807" t="s">
        <v>574</v>
      </c>
      <c r="R807" t="s">
        <v>370</v>
      </c>
      <c r="S807" t="s">
        <v>2058</v>
      </c>
    </row>
    <row r="808" ht="55" customHeight="1" spans="1:19">
      <c r="A808" s="1" t="str">
        <f>_xlfn.DISPIMG("ID_E7854E63A01B422DAB541F81BF58A7D3",1)</f>
        <v>=DISPIMG("ID_E7854E63A01B422DAB541F81BF58A7D3",1)</v>
      </c>
      <c r="B808" t="s">
        <v>257</v>
      </c>
      <c r="C808" t="s">
        <v>430</v>
      </c>
      <c r="D808" t="s">
        <v>454</v>
      </c>
      <c r="E808" t="s">
        <v>135</v>
      </c>
      <c r="F808" t="s">
        <v>51</v>
      </c>
      <c r="G808" t="s">
        <v>702</v>
      </c>
      <c r="H808" t="s">
        <v>135</v>
      </c>
      <c r="I808" t="s">
        <v>25</v>
      </c>
      <c r="J808" t="s">
        <v>26</v>
      </c>
      <c r="K808" t="s">
        <v>27</v>
      </c>
      <c r="L808" t="s">
        <v>74</v>
      </c>
      <c r="M808" t="s">
        <v>29</v>
      </c>
      <c r="N808" t="s">
        <v>30</v>
      </c>
      <c r="O808" t="s">
        <v>31</v>
      </c>
      <c r="P808" t="s">
        <v>75</v>
      </c>
      <c r="Q808" t="s">
        <v>297</v>
      </c>
      <c r="R808" t="s">
        <v>263</v>
      </c>
      <c r="S808" t="s">
        <v>2059</v>
      </c>
    </row>
    <row r="809" ht="55" customHeight="1" spans="1:19">
      <c r="A809" s="1" t="str">
        <f>_xlfn.DISPIMG("ID_CF622405EC0B4C68BB67A00D4E91F35A",1)</f>
        <v>=DISPIMG("ID_CF622405EC0B4C68BB67A00D4E91F35A",1)</v>
      </c>
      <c r="B809" t="s">
        <v>439</v>
      </c>
      <c r="C809" t="s">
        <v>715</v>
      </c>
      <c r="D809" t="s">
        <v>750</v>
      </c>
      <c r="E809" t="s">
        <v>316</v>
      </c>
      <c r="F809" t="s">
        <v>91</v>
      </c>
      <c r="G809" t="s">
        <v>1115</v>
      </c>
      <c r="H809" t="s">
        <v>144</v>
      </c>
      <c r="I809" t="s">
        <v>137</v>
      </c>
      <c r="J809" t="s">
        <v>26</v>
      </c>
      <c r="K809" t="s">
        <v>27</v>
      </c>
      <c r="L809" t="s">
        <v>74</v>
      </c>
      <c r="M809" t="s">
        <v>93</v>
      </c>
      <c r="N809" t="s">
        <v>30</v>
      </c>
      <c r="O809" t="s">
        <v>31</v>
      </c>
      <c r="P809" t="s">
        <v>138</v>
      </c>
      <c r="Q809" t="s">
        <v>76</v>
      </c>
      <c r="R809" t="s">
        <v>191</v>
      </c>
      <c r="S809" t="s">
        <v>2060</v>
      </c>
    </row>
    <row r="810" ht="55" customHeight="1" spans="1:19">
      <c r="A810" s="1" t="str">
        <f>_xlfn.DISPIMG("ID_03A3B6AAFC6244A1BCD0E4768E750011",1)</f>
        <v>=DISPIMG("ID_03A3B6AAFC6244A1BCD0E4768E750011",1)</v>
      </c>
      <c r="B810" t="s">
        <v>242</v>
      </c>
      <c r="C810" t="s">
        <v>266</v>
      </c>
      <c r="D810" t="s">
        <v>244</v>
      </c>
      <c r="E810" t="s">
        <v>659</v>
      </c>
      <c r="F810" t="s">
        <v>245</v>
      </c>
      <c r="G810" t="s">
        <v>246</v>
      </c>
      <c r="H810" t="s">
        <v>659</v>
      </c>
      <c r="I810" t="s">
        <v>165</v>
      </c>
      <c r="J810" t="s">
        <v>26</v>
      </c>
      <c r="K810" t="s">
        <v>27</v>
      </c>
      <c r="L810" t="s">
        <v>231</v>
      </c>
      <c r="M810" t="s">
        <v>93</v>
      </c>
      <c r="N810" t="s">
        <v>30</v>
      </c>
      <c r="O810" t="s">
        <v>31</v>
      </c>
      <c r="P810" t="s">
        <v>247</v>
      </c>
      <c r="Q810" t="s">
        <v>297</v>
      </c>
      <c r="R810" t="s">
        <v>249</v>
      </c>
      <c r="S810" t="s">
        <v>2061</v>
      </c>
    </row>
    <row r="811" ht="55" customHeight="1" spans="1:19">
      <c r="A811" s="1" t="str">
        <f>_xlfn.DISPIMG("ID_713DE6C2E9EF43B59F41A17B99774E3A",1)</f>
        <v>=DISPIMG("ID_713DE6C2E9EF43B59F41A17B99774E3A",1)</v>
      </c>
      <c r="B811" t="s">
        <v>366</v>
      </c>
      <c r="C811" t="s">
        <v>2062</v>
      </c>
      <c r="D811" t="s">
        <v>466</v>
      </c>
      <c r="E811" t="s">
        <v>357</v>
      </c>
      <c r="F811" t="s">
        <v>245</v>
      </c>
      <c r="G811" t="s">
        <v>724</v>
      </c>
      <c r="H811" t="s">
        <v>357</v>
      </c>
      <c r="I811" t="s">
        <v>165</v>
      </c>
      <c r="J811" t="s">
        <v>26</v>
      </c>
      <c r="K811" t="s">
        <v>27</v>
      </c>
      <c r="L811" t="s">
        <v>231</v>
      </c>
      <c r="M811" t="s">
        <v>93</v>
      </c>
      <c r="N811" t="s">
        <v>30</v>
      </c>
      <c r="O811" t="s">
        <v>31</v>
      </c>
      <c r="P811" t="s">
        <v>75</v>
      </c>
      <c r="Q811" t="s">
        <v>297</v>
      </c>
      <c r="R811" t="s">
        <v>370</v>
      </c>
      <c r="S811" t="s">
        <v>2063</v>
      </c>
    </row>
    <row r="812" ht="55" customHeight="1" spans="1:19">
      <c r="A812" s="1" t="str">
        <f>_xlfn.DISPIMG("ID_4D67B7B1BF124C1683E7002A552803E7",1)</f>
        <v>=DISPIMG("ID_4D67B7B1BF124C1683E7002A552803E7",1)</v>
      </c>
      <c r="B812" t="s">
        <v>257</v>
      </c>
      <c r="C812" t="s">
        <v>299</v>
      </c>
      <c r="D812" t="s">
        <v>60</v>
      </c>
      <c r="E812" t="s">
        <v>238</v>
      </c>
      <c r="F812" t="s">
        <v>51</v>
      </c>
      <c r="G812" t="s">
        <v>52</v>
      </c>
      <c r="H812" t="s">
        <v>238</v>
      </c>
      <c r="I812" t="s">
        <v>25</v>
      </c>
      <c r="J812" t="s">
        <v>26</v>
      </c>
      <c r="K812" t="s">
        <v>27</v>
      </c>
      <c r="L812" t="s">
        <v>28</v>
      </c>
      <c r="M812" t="s">
        <v>29</v>
      </c>
      <c r="N812" t="s">
        <v>30</v>
      </c>
      <c r="O812" t="s">
        <v>31</v>
      </c>
      <c r="P812" t="s">
        <v>94</v>
      </c>
      <c r="Q812" t="s">
        <v>359</v>
      </c>
      <c r="R812" t="s">
        <v>263</v>
      </c>
      <c r="S812" t="s">
        <v>2064</v>
      </c>
    </row>
    <row r="813" ht="55" customHeight="1" spans="1:19">
      <c r="A813" s="1" t="str">
        <f>_xlfn.DISPIMG("ID_AE9BE263774F4304849D09D87D26D777",1)</f>
        <v>=DISPIMG("ID_AE9BE263774F4304849D09D87D26D777",1)</v>
      </c>
      <c r="B813" t="s">
        <v>242</v>
      </c>
      <c r="C813" t="s">
        <v>299</v>
      </c>
      <c r="D813" t="s">
        <v>581</v>
      </c>
      <c r="E813" t="s">
        <v>109</v>
      </c>
      <c r="F813" t="s">
        <v>245</v>
      </c>
      <c r="G813" t="s">
        <v>246</v>
      </c>
      <c r="H813" t="s">
        <v>111</v>
      </c>
      <c r="I813" t="s">
        <v>165</v>
      </c>
      <c r="J813" t="s">
        <v>26</v>
      </c>
      <c r="K813" t="s">
        <v>27</v>
      </c>
      <c r="L813" t="s">
        <v>557</v>
      </c>
      <c r="M813" t="s">
        <v>93</v>
      </c>
      <c r="N813" t="s">
        <v>30</v>
      </c>
      <c r="O813" t="s">
        <v>31</v>
      </c>
      <c r="P813" t="s">
        <v>2065</v>
      </c>
      <c r="Q813" t="s">
        <v>76</v>
      </c>
      <c r="R813" t="s">
        <v>249</v>
      </c>
      <c r="S813" t="s">
        <v>2066</v>
      </c>
    </row>
    <row r="814" ht="55" customHeight="1" spans="1:19">
      <c r="A814" s="1" t="str">
        <f>_xlfn.DISPIMG("ID_D316621E68C84F4EB71ACEA210DD27C0",1)</f>
        <v>=DISPIMG("ID_D316621E68C84F4EB71ACEA210DD27C0",1)</v>
      </c>
      <c r="B814" t="s">
        <v>366</v>
      </c>
      <c r="C814" t="s">
        <v>367</v>
      </c>
      <c r="D814" t="s">
        <v>375</v>
      </c>
      <c r="E814" t="s">
        <v>100</v>
      </c>
      <c r="F814" t="s">
        <v>245</v>
      </c>
      <c r="G814" t="s">
        <v>120</v>
      </c>
      <c r="H814" t="s">
        <v>100</v>
      </c>
      <c r="I814" t="s">
        <v>165</v>
      </c>
      <c r="J814" t="s">
        <v>26</v>
      </c>
      <c r="K814" t="s">
        <v>27</v>
      </c>
      <c r="L814" t="s">
        <v>231</v>
      </c>
      <c r="M814" t="s">
        <v>93</v>
      </c>
      <c r="N814" t="s">
        <v>30</v>
      </c>
      <c r="O814" t="s">
        <v>31</v>
      </c>
      <c r="P814" t="s">
        <v>54</v>
      </c>
      <c r="Q814" t="s">
        <v>539</v>
      </c>
      <c r="R814" t="s">
        <v>370</v>
      </c>
      <c r="S814" t="s">
        <v>2067</v>
      </c>
    </row>
    <row r="815" ht="55" customHeight="1" spans="1:19">
      <c r="A815" s="1" t="str">
        <f>_xlfn.DISPIMG("ID_0FAB7F46BC874F4A8FEC86ADE76355EE",1)</f>
        <v>=DISPIMG("ID_0FAB7F46BC874F4A8FEC86ADE76355EE",1)</v>
      </c>
      <c r="B815" t="s">
        <v>320</v>
      </c>
      <c r="C815" t="s">
        <v>505</v>
      </c>
      <c r="D815" t="s">
        <v>151</v>
      </c>
      <c r="E815" t="s">
        <v>63</v>
      </c>
      <c r="F815" t="s">
        <v>173</v>
      </c>
      <c r="G815" t="s">
        <v>127</v>
      </c>
      <c r="H815" t="s">
        <v>63</v>
      </c>
      <c r="I815" t="s">
        <v>175</v>
      </c>
      <c r="J815" t="s">
        <v>26</v>
      </c>
      <c r="K815" t="s">
        <v>27</v>
      </c>
      <c r="L815" t="s">
        <v>28</v>
      </c>
      <c r="M815" t="s">
        <v>93</v>
      </c>
      <c r="N815" t="s">
        <v>30</v>
      </c>
      <c r="O815" t="s">
        <v>31</v>
      </c>
      <c r="P815" t="s">
        <v>75</v>
      </c>
      <c r="Q815" t="s">
        <v>113</v>
      </c>
      <c r="R815" t="s">
        <v>324</v>
      </c>
      <c r="S815" t="s">
        <v>2068</v>
      </c>
    </row>
    <row r="816" ht="55" customHeight="1" spans="1:19">
      <c r="A816" s="1" t="str">
        <f>_xlfn.DISPIMG("ID_C7BA7F4986474C7883F39B65763FBB16",1)</f>
        <v>=DISPIMG("ID_C7BA7F4986474C7883F39B65763FBB16",1)</v>
      </c>
      <c r="B816" t="s">
        <v>465</v>
      </c>
      <c r="C816" t="s">
        <v>951</v>
      </c>
      <c r="D816" t="s">
        <v>435</v>
      </c>
      <c r="E816" t="s">
        <v>63</v>
      </c>
      <c r="F816" t="s">
        <v>40</v>
      </c>
      <c r="G816" t="s">
        <v>41</v>
      </c>
      <c r="H816" t="s">
        <v>63</v>
      </c>
      <c r="I816" t="s">
        <v>42</v>
      </c>
      <c r="J816" t="s">
        <v>26</v>
      </c>
      <c r="K816" t="s">
        <v>27</v>
      </c>
      <c r="L816" t="s">
        <v>28</v>
      </c>
      <c r="M816" t="s">
        <v>29</v>
      </c>
      <c r="N816" t="s">
        <v>30</v>
      </c>
      <c r="O816" t="s">
        <v>31</v>
      </c>
      <c r="P816" t="s">
        <v>351</v>
      </c>
      <c r="Q816" t="s">
        <v>44</v>
      </c>
      <c r="R816" t="s">
        <v>45</v>
      </c>
      <c r="S816" t="s">
        <v>2069</v>
      </c>
    </row>
    <row r="817" ht="55" customHeight="1" spans="1:19">
      <c r="A817" s="1" t="str">
        <f>_xlfn.DISPIMG("ID_33730B978D5249CEA2F5084EDD60EDE2",1)</f>
        <v>=DISPIMG("ID_33730B978D5249CEA2F5084EDD60EDE2",1)</v>
      </c>
      <c r="B817" t="s">
        <v>2070</v>
      </c>
      <c r="C817" t="s">
        <v>372</v>
      </c>
      <c r="D817" t="s">
        <v>1202</v>
      </c>
      <c r="E817" t="s">
        <v>39</v>
      </c>
      <c r="F817" t="s">
        <v>512</v>
      </c>
      <c r="G817" t="s">
        <v>174</v>
      </c>
      <c r="H817" t="s">
        <v>39</v>
      </c>
      <c r="I817" t="s">
        <v>137</v>
      </c>
      <c r="J817" t="s">
        <v>26</v>
      </c>
      <c r="K817" t="s">
        <v>27</v>
      </c>
      <c r="L817" t="s">
        <v>74</v>
      </c>
      <c r="M817" t="s">
        <v>513</v>
      </c>
      <c r="N817" t="s">
        <v>64</v>
      </c>
      <c r="O817" t="s">
        <v>31</v>
      </c>
      <c r="P817" t="s">
        <v>75</v>
      </c>
      <c r="Q817" t="s">
        <v>113</v>
      </c>
      <c r="R817" t="s">
        <v>1586</v>
      </c>
      <c r="S817" t="s">
        <v>2071</v>
      </c>
    </row>
    <row r="818" ht="55" customHeight="1" spans="1:19">
      <c r="A818" s="1" t="str">
        <f>_xlfn.DISPIMG("ID_D154EDBA3D9E4BB98F1DDF5F49037B24",1)</f>
        <v>=DISPIMG("ID_D154EDBA3D9E4BB98F1DDF5F49037B24",1)</v>
      </c>
      <c r="B818" t="s">
        <v>69</v>
      </c>
      <c r="C818" t="s">
        <v>720</v>
      </c>
      <c r="D818" t="s">
        <v>71</v>
      </c>
      <c r="E818" t="s">
        <v>72</v>
      </c>
      <c r="F818" t="s">
        <v>40</v>
      </c>
      <c r="G818" t="s">
        <v>73</v>
      </c>
      <c r="H818" t="s">
        <v>72</v>
      </c>
      <c r="I818" t="s">
        <v>25</v>
      </c>
      <c r="J818" t="s">
        <v>26</v>
      </c>
      <c r="K818" t="s">
        <v>27</v>
      </c>
      <c r="L818" t="s">
        <v>74</v>
      </c>
      <c r="M818" t="s">
        <v>29</v>
      </c>
      <c r="N818" t="s">
        <v>30</v>
      </c>
      <c r="O818" t="s">
        <v>31</v>
      </c>
      <c r="P818" t="s">
        <v>75</v>
      </c>
      <c r="Q818" t="s">
        <v>297</v>
      </c>
      <c r="R818" t="s">
        <v>77</v>
      </c>
      <c r="S818" t="s">
        <v>2072</v>
      </c>
    </row>
    <row r="819" ht="55" customHeight="1" spans="1:19">
      <c r="A819" s="1" t="str">
        <f>_xlfn.DISPIMG("ID_4A50EEBA070D4ED6925CC1603CBEFE25",1)</f>
        <v>=DISPIMG("ID_4A50EEBA070D4ED6925CC1603CBEFE25",1)</v>
      </c>
      <c r="B819" t="s">
        <v>465</v>
      </c>
      <c r="C819" t="s">
        <v>839</v>
      </c>
      <c r="D819" t="s">
        <v>581</v>
      </c>
      <c r="E819" t="s">
        <v>739</v>
      </c>
      <c r="F819" t="s">
        <v>40</v>
      </c>
      <c r="G819" t="s">
        <v>205</v>
      </c>
      <c r="H819" t="s">
        <v>22</v>
      </c>
      <c r="I819" t="s">
        <v>42</v>
      </c>
      <c r="J819" t="s">
        <v>26</v>
      </c>
      <c r="K819" t="s">
        <v>27</v>
      </c>
      <c r="L819" t="s">
        <v>28</v>
      </c>
      <c r="M819" t="s">
        <v>29</v>
      </c>
      <c r="N819" t="s">
        <v>30</v>
      </c>
      <c r="O819" t="s">
        <v>31</v>
      </c>
      <c r="P819" t="s">
        <v>146</v>
      </c>
      <c r="Q819" t="s">
        <v>994</v>
      </c>
      <c r="R819" t="s">
        <v>45</v>
      </c>
      <c r="S819" t="s">
        <v>2073</v>
      </c>
    </row>
    <row r="820" ht="55" customHeight="1" spans="1:19">
      <c r="A820" s="1" t="str">
        <f>_xlfn.DISPIMG("ID_B6BF661A1A14460ABCEF1F8E5FB4A925",1)</f>
        <v>=DISPIMG("ID_B6BF661A1A14460ABCEF1F8E5FB4A925",1)</v>
      </c>
      <c r="B820" t="s">
        <v>1324</v>
      </c>
      <c r="C820" t="s">
        <v>362</v>
      </c>
      <c r="D820" t="s">
        <v>160</v>
      </c>
      <c r="E820" t="s">
        <v>161</v>
      </c>
      <c r="F820" t="s">
        <v>401</v>
      </c>
      <c r="G820" t="s">
        <v>875</v>
      </c>
      <c r="H820" t="s">
        <v>164</v>
      </c>
      <c r="I820" t="s">
        <v>175</v>
      </c>
      <c r="J820" t="s">
        <v>26</v>
      </c>
      <c r="K820" t="s">
        <v>27</v>
      </c>
      <c r="L820" t="s">
        <v>74</v>
      </c>
      <c r="M820" t="s">
        <v>403</v>
      </c>
      <c r="N820" t="s">
        <v>64</v>
      </c>
      <c r="O820" t="s">
        <v>404</v>
      </c>
      <c r="P820" t="s">
        <v>1828</v>
      </c>
      <c r="Q820" t="s">
        <v>113</v>
      </c>
      <c r="R820" t="s">
        <v>324</v>
      </c>
      <c r="S820" t="s">
        <v>2074</v>
      </c>
    </row>
    <row r="821" ht="55" customHeight="1" spans="1:19">
      <c r="A821" s="1" t="str">
        <f>_xlfn.DISPIMG("ID_0C314C04CAA246DDA00A808447983D22",1)</f>
        <v>=DISPIMG("ID_0C314C04CAA246DDA00A808447983D22",1)</v>
      </c>
      <c r="B821" t="s">
        <v>288</v>
      </c>
      <c r="C821" t="s">
        <v>1388</v>
      </c>
      <c r="D821" t="s">
        <v>279</v>
      </c>
      <c r="E821" t="s">
        <v>164</v>
      </c>
      <c r="F821" t="s">
        <v>290</v>
      </c>
      <c r="G821" t="s">
        <v>41</v>
      </c>
      <c r="H821" t="s">
        <v>164</v>
      </c>
      <c r="I821" t="s">
        <v>42</v>
      </c>
      <c r="J821" t="s">
        <v>26</v>
      </c>
      <c r="K821" t="s">
        <v>27</v>
      </c>
      <c r="L821" t="s">
        <v>53</v>
      </c>
      <c r="M821" t="s">
        <v>93</v>
      </c>
      <c r="N821" t="s">
        <v>30</v>
      </c>
      <c r="O821" t="s">
        <v>31</v>
      </c>
      <c r="P821" t="s">
        <v>301</v>
      </c>
      <c r="Q821" t="s">
        <v>183</v>
      </c>
      <c r="R821" t="s">
        <v>293</v>
      </c>
      <c r="S821" t="s">
        <v>2075</v>
      </c>
    </row>
    <row r="822" ht="55" customHeight="1" spans="1:19">
      <c r="A822" s="1" t="str">
        <f>_xlfn.DISPIMG("ID_81A1062977A3455B94D79F3F86D02D9D",1)</f>
        <v>=DISPIMG("ID_81A1062977A3455B94D79F3F86D02D9D",1)</v>
      </c>
      <c r="B822" t="s">
        <v>2076</v>
      </c>
      <c r="C822" t="s">
        <v>2077</v>
      </c>
      <c r="D822" t="s">
        <v>1296</v>
      </c>
      <c r="E822" t="s">
        <v>1244</v>
      </c>
      <c r="F822" t="s">
        <v>228</v>
      </c>
      <c r="G822" t="s">
        <v>402</v>
      </c>
      <c r="H822" t="s">
        <v>1244</v>
      </c>
      <c r="I822" t="s">
        <v>165</v>
      </c>
      <c r="J822" t="s">
        <v>26</v>
      </c>
      <c r="K822" t="s">
        <v>27</v>
      </c>
      <c r="L822" t="s">
        <v>53</v>
      </c>
      <c r="M822" t="s">
        <v>232</v>
      </c>
      <c r="N822" t="s">
        <v>30</v>
      </c>
      <c r="O822" t="s">
        <v>31</v>
      </c>
      <c r="P822" t="s">
        <v>75</v>
      </c>
      <c r="Q822" t="s">
        <v>2078</v>
      </c>
      <c r="R822" t="s">
        <v>234</v>
      </c>
      <c r="S822" t="s">
        <v>2079</v>
      </c>
    </row>
    <row r="823" ht="55" customHeight="1" spans="1:19">
      <c r="A823" s="1" t="str">
        <f>_xlfn.DISPIMG("ID_12CDBF662EF6474B981DEECB045E3FDB",1)</f>
        <v>=DISPIMG("ID_12CDBF662EF6474B981DEECB045E3FDB",1)</v>
      </c>
      <c r="B823" t="s">
        <v>116</v>
      </c>
      <c r="C823" t="s">
        <v>551</v>
      </c>
      <c r="D823" t="s">
        <v>349</v>
      </c>
      <c r="E823" t="s">
        <v>84</v>
      </c>
      <c r="F823" t="s">
        <v>40</v>
      </c>
      <c r="G823" t="s">
        <v>490</v>
      </c>
      <c r="H823" t="s">
        <v>84</v>
      </c>
      <c r="I823" t="s">
        <v>42</v>
      </c>
      <c r="J823" t="s">
        <v>26</v>
      </c>
      <c r="K823" t="s">
        <v>27</v>
      </c>
      <c r="L823" t="s">
        <v>74</v>
      </c>
      <c r="M823" t="s">
        <v>29</v>
      </c>
      <c r="N823" t="s">
        <v>30</v>
      </c>
      <c r="O823" t="s">
        <v>31</v>
      </c>
      <c r="P823" t="s">
        <v>221</v>
      </c>
      <c r="Q823" t="s">
        <v>843</v>
      </c>
      <c r="R823" t="s">
        <v>45</v>
      </c>
      <c r="S823" t="s">
        <v>2080</v>
      </c>
    </row>
    <row r="824" ht="55" customHeight="1" spans="1:19">
      <c r="A824" s="1" t="str">
        <f>_xlfn.DISPIMG("ID_3359AFF4F89A4805AA93C36211C1BE17",1)</f>
        <v>=DISPIMG("ID_3359AFF4F89A4805AA93C36211C1BE17",1)</v>
      </c>
      <c r="B824" t="s">
        <v>257</v>
      </c>
      <c r="C824" t="s">
        <v>2081</v>
      </c>
      <c r="D824" t="s">
        <v>1391</v>
      </c>
      <c r="E824" t="s">
        <v>72</v>
      </c>
      <c r="F824" t="s">
        <v>51</v>
      </c>
      <c r="G824" t="s">
        <v>284</v>
      </c>
      <c r="H824" t="s">
        <v>72</v>
      </c>
      <c r="I824" t="s">
        <v>25</v>
      </c>
      <c r="J824" t="s">
        <v>26</v>
      </c>
      <c r="K824" t="s">
        <v>27</v>
      </c>
      <c r="L824" t="s">
        <v>74</v>
      </c>
      <c r="M824" t="s">
        <v>29</v>
      </c>
      <c r="N824" t="s">
        <v>30</v>
      </c>
      <c r="O824" t="s">
        <v>31</v>
      </c>
      <c r="P824" t="s">
        <v>121</v>
      </c>
      <c r="Q824" t="s">
        <v>2082</v>
      </c>
      <c r="R824" t="s">
        <v>263</v>
      </c>
      <c r="S824" t="s">
        <v>2083</v>
      </c>
    </row>
    <row r="825" ht="55" customHeight="1" spans="1:19">
      <c r="A825" s="1" t="str">
        <f>_xlfn.DISPIMG("ID_34A9CAA9AF454D5D91CC738236B76060",1)</f>
        <v>=DISPIMG("ID_34A9CAA9AF454D5D91CC738236B76060",1)</v>
      </c>
      <c r="B825" t="s">
        <v>675</v>
      </c>
      <c r="C825" t="s">
        <v>1489</v>
      </c>
      <c r="D825" t="s">
        <v>99</v>
      </c>
      <c r="E825" t="s">
        <v>100</v>
      </c>
      <c r="F825" t="s">
        <v>173</v>
      </c>
      <c r="G825" t="s">
        <v>490</v>
      </c>
      <c r="H825" t="s">
        <v>100</v>
      </c>
      <c r="I825" t="s">
        <v>137</v>
      </c>
      <c r="J825" t="s">
        <v>26</v>
      </c>
      <c r="K825" t="s">
        <v>27</v>
      </c>
      <c r="L825" t="s">
        <v>28</v>
      </c>
      <c r="M825" t="s">
        <v>93</v>
      </c>
      <c r="N825" t="s">
        <v>30</v>
      </c>
      <c r="O825" t="s">
        <v>31</v>
      </c>
      <c r="P825" t="s">
        <v>414</v>
      </c>
      <c r="Q825" t="s">
        <v>2084</v>
      </c>
      <c r="R825" t="s">
        <v>618</v>
      </c>
      <c r="S825" t="s">
        <v>2085</v>
      </c>
    </row>
    <row r="826" ht="55" customHeight="1" spans="1:19">
      <c r="A826" s="1" t="str">
        <f>_xlfn.DISPIMG("ID_BD443422257D45E795199F1D560BA281",1)</f>
        <v>=DISPIMG("ID_BD443422257D45E795199F1D560BA281",1)</v>
      </c>
      <c r="B826" t="s">
        <v>2086</v>
      </c>
      <c r="C826" t="s">
        <v>20</v>
      </c>
      <c r="D826" t="s">
        <v>785</v>
      </c>
      <c r="E826" t="s">
        <v>135</v>
      </c>
      <c r="F826" t="s">
        <v>162</v>
      </c>
      <c r="G826" t="s">
        <v>174</v>
      </c>
      <c r="H826" t="s">
        <v>135</v>
      </c>
      <c r="I826" t="s">
        <v>175</v>
      </c>
      <c r="J826" t="s">
        <v>230</v>
      </c>
      <c r="K826" t="s">
        <v>27</v>
      </c>
      <c r="L826" t="s">
        <v>28</v>
      </c>
      <c r="M826" t="s">
        <v>166</v>
      </c>
      <c r="N826" t="s">
        <v>30</v>
      </c>
      <c r="O826" t="s">
        <v>31</v>
      </c>
      <c r="P826" t="s">
        <v>301</v>
      </c>
      <c r="Q826" t="s">
        <v>167</v>
      </c>
      <c r="R826" t="s">
        <v>234</v>
      </c>
      <c r="S826" t="s">
        <v>2087</v>
      </c>
    </row>
    <row r="827" ht="55" customHeight="1" spans="1:19">
      <c r="A827" s="1" t="str">
        <f>_xlfn.DISPIMG("ID_F59DC7D2F1DD4FC0A2085F0ADB939EB7",1)</f>
        <v>=DISPIMG("ID_F59DC7D2F1DD4FC0A2085F0ADB939EB7",1)</v>
      </c>
      <c r="B827" t="s">
        <v>458</v>
      </c>
      <c r="C827" t="s">
        <v>2088</v>
      </c>
      <c r="D827" t="s">
        <v>454</v>
      </c>
      <c r="E827" t="s">
        <v>135</v>
      </c>
      <c r="F827" t="s">
        <v>173</v>
      </c>
      <c r="G827" t="s">
        <v>1460</v>
      </c>
      <c r="H827" t="s">
        <v>135</v>
      </c>
      <c r="I827" t="s">
        <v>175</v>
      </c>
      <c r="J827" t="s">
        <v>26</v>
      </c>
      <c r="K827" t="s">
        <v>27</v>
      </c>
      <c r="L827" t="s">
        <v>28</v>
      </c>
      <c r="M827" t="s">
        <v>93</v>
      </c>
      <c r="N827" t="s">
        <v>30</v>
      </c>
      <c r="O827" t="s">
        <v>31</v>
      </c>
      <c r="P827" t="s">
        <v>75</v>
      </c>
      <c r="Q827" t="s">
        <v>725</v>
      </c>
      <c r="R827" t="s">
        <v>618</v>
      </c>
      <c r="S827" t="s">
        <v>2089</v>
      </c>
    </row>
    <row r="828" ht="55" customHeight="1" spans="1:19">
      <c r="A828" s="1" t="str">
        <f>_xlfn.DISPIMG("ID_543D421A918C4DF6903F508D658708F3",1)</f>
        <v>=DISPIMG("ID_543D421A918C4DF6903F508D658708F3",1)</v>
      </c>
      <c r="B828" t="s">
        <v>2090</v>
      </c>
      <c r="C828" t="s">
        <v>845</v>
      </c>
      <c r="D828" t="s">
        <v>108</v>
      </c>
      <c r="E828" t="s">
        <v>109</v>
      </c>
      <c r="F828" t="s">
        <v>40</v>
      </c>
      <c r="G828" t="s">
        <v>41</v>
      </c>
      <c r="H828" t="s">
        <v>111</v>
      </c>
      <c r="I828" t="s">
        <v>42</v>
      </c>
      <c r="J828" t="s">
        <v>26</v>
      </c>
      <c r="K828" t="s">
        <v>27</v>
      </c>
      <c r="L828" t="s">
        <v>28</v>
      </c>
      <c r="M828" t="s">
        <v>29</v>
      </c>
      <c r="N828" t="s">
        <v>64</v>
      </c>
      <c r="O828" t="s">
        <v>31</v>
      </c>
      <c r="P828" t="s">
        <v>491</v>
      </c>
      <c r="Q828" t="s">
        <v>297</v>
      </c>
      <c r="R828" t="s">
        <v>409</v>
      </c>
      <c r="S828" t="s">
        <v>2091</v>
      </c>
    </row>
    <row r="829" ht="55" customHeight="1" spans="1:19">
      <c r="A829" s="1" t="str">
        <f>_xlfn.DISPIMG("ID_2C865F2A865343568FBA8CF86589868A",1)</f>
        <v>=DISPIMG("ID_2C865F2A865343568FBA8CF86589868A",1)</v>
      </c>
      <c r="B829" t="s">
        <v>675</v>
      </c>
      <c r="C829" t="s">
        <v>372</v>
      </c>
      <c r="D829" t="s">
        <v>664</v>
      </c>
      <c r="E829" t="s">
        <v>1224</v>
      </c>
      <c r="F829" t="s">
        <v>173</v>
      </c>
      <c r="G829" t="s">
        <v>312</v>
      </c>
      <c r="H829" t="s">
        <v>1224</v>
      </c>
      <c r="I829" t="s">
        <v>137</v>
      </c>
      <c r="J829" t="s">
        <v>26</v>
      </c>
      <c r="K829" t="s">
        <v>27</v>
      </c>
      <c r="L829" t="s">
        <v>329</v>
      </c>
      <c r="M829" t="s">
        <v>93</v>
      </c>
      <c r="N829" t="s">
        <v>30</v>
      </c>
      <c r="O829" t="s">
        <v>31</v>
      </c>
      <c r="P829" t="s">
        <v>655</v>
      </c>
      <c r="Q829" t="s">
        <v>369</v>
      </c>
      <c r="R829" t="s">
        <v>618</v>
      </c>
      <c r="S829" t="s">
        <v>2092</v>
      </c>
    </row>
    <row r="830" ht="55" customHeight="1" spans="1:19">
      <c r="A830" s="1" t="str">
        <f>_xlfn.DISPIMG("ID_B8360D74717E403F8E40FEB9D127AEEF",1)</f>
        <v>=DISPIMG("ID_B8360D74717E403F8E40FEB9D127AEEF",1)</v>
      </c>
      <c r="B830" t="s">
        <v>326</v>
      </c>
      <c r="C830" t="s">
        <v>498</v>
      </c>
      <c r="D830" t="s">
        <v>524</v>
      </c>
      <c r="E830" t="s">
        <v>63</v>
      </c>
      <c r="F830" t="s">
        <v>212</v>
      </c>
      <c r="G830" t="s">
        <v>41</v>
      </c>
      <c r="H830" t="s">
        <v>63</v>
      </c>
      <c r="I830" t="s">
        <v>189</v>
      </c>
      <c r="J830" t="s">
        <v>26</v>
      </c>
      <c r="K830" t="s">
        <v>27</v>
      </c>
      <c r="L830" t="s">
        <v>28</v>
      </c>
      <c r="M830" t="s">
        <v>93</v>
      </c>
      <c r="N830" t="s">
        <v>30</v>
      </c>
      <c r="O830" t="s">
        <v>31</v>
      </c>
      <c r="P830" t="s">
        <v>65</v>
      </c>
      <c r="Q830" t="s">
        <v>849</v>
      </c>
      <c r="R830" t="s">
        <v>330</v>
      </c>
      <c r="S830" t="s">
        <v>2093</v>
      </c>
    </row>
    <row r="831" ht="55" customHeight="1" spans="1:19">
      <c r="A831" s="1" t="str">
        <f>_xlfn.DISPIMG("ID_4ECA5A9524CD461CAF214E58B6ED7ACD",1)</f>
        <v>=DISPIMG("ID_4ECA5A9524CD461CAF214E58B6ED7ACD",1)</v>
      </c>
      <c r="B831" t="s">
        <v>877</v>
      </c>
      <c r="C831" t="s">
        <v>663</v>
      </c>
      <c r="D831" t="s">
        <v>1170</v>
      </c>
      <c r="E831" t="s">
        <v>573</v>
      </c>
      <c r="F831" t="s">
        <v>878</v>
      </c>
      <c r="G831" t="s">
        <v>1442</v>
      </c>
      <c r="H831" t="s">
        <v>211</v>
      </c>
      <c r="I831" t="s">
        <v>189</v>
      </c>
      <c r="J831" t="s">
        <v>26</v>
      </c>
      <c r="K831" t="s">
        <v>27</v>
      </c>
      <c r="L831" t="s">
        <v>624</v>
      </c>
      <c r="M831" t="s">
        <v>93</v>
      </c>
      <c r="N831" t="s">
        <v>30</v>
      </c>
      <c r="O831" t="s">
        <v>31</v>
      </c>
      <c r="P831" t="s">
        <v>138</v>
      </c>
      <c r="Q831" t="s">
        <v>113</v>
      </c>
      <c r="R831" t="s">
        <v>880</v>
      </c>
      <c r="S831" t="s">
        <v>2094</v>
      </c>
    </row>
    <row r="832" ht="55" customHeight="1" spans="1:19">
      <c r="A832" s="1" t="str">
        <f>_xlfn.DISPIMG("ID_BC42174D59CB4F62A2536F1B6890166B",1)</f>
        <v>=DISPIMG("ID_BC42174D59CB4F62A2536F1B6890166B",1)</v>
      </c>
      <c r="B832" t="s">
        <v>465</v>
      </c>
      <c r="C832" t="s">
        <v>1501</v>
      </c>
      <c r="D832" t="s">
        <v>973</v>
      </c>
      <c r="E832" t="s">
        <v>211</v>
      </c>
      <c r="F832" t="s">
        <v>40</v>
      </c>
      <c r="G832" t="s">
        <v>41</v>
      </c>
      <c r="H832" t="s">
        <v>211</v>
      </c>
      <c r="I832" t="s">
        <v>42</v>
      </c>
      <c r="J832" t="s">
        <v>26</v>
      </c>
      <c r="K832" t="s">
        <v>27</v>
      </c>
      <c r="L832" t="s">
        <v>53</v>
      </c>
      <c r="M832" t="s">
        <v>29</v>
      </c>
      <c r="N832" t="s">
        <v>30</v>
      </c>
      <c r="O832" t="s">
        <v>31</v>
      </c>
      <c r="P832" t="s">
        <v>112</v>
      </c>
      <c r="Q832" t="s">
        <v>103</v>
      </c>
      <c r="R832" t="s">
        <v>45</v>
      </c>
      <c r="S832" t="s">
        <v>2095</v>
      </c>
    </row>
    <row r="833" ht="55" customHeight="1" spans="1:19">
      <c r="A833" s="1" t="str">
        <f>_xlfn.DISPIMG("ID_0E5F7550F641452A981A5E824D8D44D0",1)</f>
        <v>=DISPIMG("ID_0E5F7550F641452A981A5E824D8D44D0",1)</v>
      </c>
      <c r="B833" t="s">
        <v>178</v>
      </c>
      <c r="C833" t="s">
        <v>2096</v>
      </c>
      <c r="D833" t="s">
        <v>664</v>
      </c>
      <c r="E833" t="s">
        <v>305</v>
      </c>
      <c r="F833" t="s">
        <v>51</v>
      </c>
      <c r="G833" t="s">
        <v>101</v>
      </c>
      <c r="H833" t="s">
        <v>50</v>
      </c>
      <c r="I833" t="s">
        <v>42</v>
      </c>
      <c r="J833" t="s">
        <v>26</v>
      </c>
      <c r="K833" t="s">
        <v>27</v>
      </c>
      <c r="L833" t="s">
        <v>53</v>
      </c>
      <c r="M833" t="s">
        <v>29</v>
      </c>
      <c r="N833" t="s">
        <v>30</v>
      </c>
      <c r="O833" t="s">
        <v>31</v>
      </c>
      <c r="P833" t="s">
        <v>75</v>
      </c>
      <c r="Q833" t="s">
        <v>85</v>
      </c>
      <c r="R833" t="s">
        <v>184</v>
      </c>
      <c r="S833" t="s">
        <v>2097</v>
      </c>
    </row>
    <row r="834" ht="55" customHeight="1" spans="1:19">
      <c r="A834" s="1" t="str">
        <f>_xlfn.DISPIMG("ID_F47352DA939041048ACC516102CD5BA4",1)</f>
        <v>=DISPIMG("ID_F47352DA939041048ACC516102CD5BA4",1)</v>
      </c>
      <c r="B834" t="s">
        <v>1536</v>
      </c>
      <c r="C834" t="s">
        <v>1449</v>
      </c>
      <c r="D834" t="s">
        <v>118</v>
      </c>
      <c r="E834" t="s">
        <v>119</v>
      </c>
      <c r="F834" t="s">
        <v>91</v>
      </c>
      <c r="G834" t="s">
        <v>41</v>
      </c>
      <c r="H834" t="s">
        <v>119</v>
      </c>
      <c r="I834" t="s">
        <v>189</v>
      </c>
      <c r="J834" t="s">
        <v>26</v>
      </c>
      <c r="K834" t="s">
        <v>27</v>
      </c>
      <c r="L834" t="s">
        <v>231</v>
      </c>
      <c r="M834" t="s">
        <v>93</v>
      </c>
      <c r="N834" t="s">
        <v>30</v>
      </c>
      <c r="O834" t="s">
        <v>31</v>
      </c>
      <c r="P834" t="s">
        <v>182</v>
      </c>
      <c r="Q834" t="s">
        <v>113</v>
      </c>
      <c r="R834" t="s">
        <v>1450</v>
      </c>
      <c r="S834" t="s">
        <v>2098</v>
      </c>
    </row>
    <row r="835" ht="55" customHeight="1" spans="1:19">
      <c r="A835" s="1" t="str">
        <f>_xlfn.DISPIMG("ID_E33641AD87DA41CABEB944265C05D653",1)</f>
        <v>=DISPIMG("ID_E33641AD87DA41CABEB944265C05D653",1)</v>
      </c>
      <c r="B835" t="s">
        <v>2099</v>
      </c>
      <c r="C835" t="s">
        <v>226</v>
      </c>
      <c r="D835" t="s">
        <v>998</v>
      </c>
      <c r="E835" t="s">
        <v>195</v>
      </c>
      <c r="F835" t="s">
        <v>999</v>
      </c>
      <c r="G835" t="s">
        <v>2100</v>
      </c>
      <c r="H835" t="s">
        <v>195</v>
      </c>
      <c r="I835" t="s">
        <v>137</v>
      </c>
      <c r="J835" t="s">
        <v>230</v>
      </c>
      <c r="K835" t="s">
        <v>27</v>
      </c>
      <c r="L835" t="s">
        <v>323</v>
      </c>
      <c r="M835" t="s">
        <v>29</v>
      </c>
      <c r="N835" t="s">
        <v>30</v>
      </c>
      <c r="O835" t="s">
        <v>31</v>
      </c>
      <c r="P835" t="s">
        <v>491</v>
      </c>
      <c r="Q835" t="s">
        <v>795</v>
      </c>
      <c r="R835" t="s">
        <v>147</v>
      </c>
      <c r="S835" t="s">
        <v>2101</v>
      </c>
    </row>
    <row r="836" ht="55" customHeight="1" spans="1:19">
      <c r="A836" s="1" t="str">
        <f>_xlfn.DISPIMG("ID_E6EECD2E6E6D46599BFACD8A41702706",1)</f>
        <v>=DISPIMG("ID_E6EECD2E6E6D46599BFACD8A41702706",1)</v>
      </c>
      <c r="B836" t="s">
        <v>465</v>
      </c>
      <c r="C836" t="s">
        <v>2102</v>
      </c>
      <c r="D836" t="s">
        <v>349</v>
      </c>
      <c r="E836" t="s">
        <v>84</v>
      </c>
      <c r="F836" t="s">
        <v>40</v>
      </c>
      <c r="G836" t="s">
        <v>383</v>
      </c>
      <c r="H836" t="s">
        <v>84</v>
      </c>
      <c r="I836" t="s">
        <v>42</v>
      </c>
      <c r="J836" t="s">
        <v>26</v>
      </c>
      <c r="K836" t="s">
        <v>27</v>
      </c>
      <c r="L836" t="s">
        <v>74</v>
      </c>
      <c r="M836" t="s">
        <v>29</v>
      </c>
      <c r="N836" t="s">
        <v>30</v>
      </c>
      <c r="O836" t="s">
        <v>31</v>
      </c>
      <c r="P836" t="s">
        <v>301</v>
      </c>
      <c r="Q836" t="s">
        <v>85</v>
      </c>
      <c r="R836" t="s">
        <v>45</v>
      </c>
      <c r="S836" t="s">
        <v>2103</v>
      </c>
    </row>
    <row r="837" ht="55" customHeight="1" spans="1:19">
      <c r="A837" s="1" t="str">
        <f>_xlfn.DISPIMG("ID_67FFC8275D8E48DD87E064A08425CC56",1)</f>
        <v>=DISPIMG("ID_67FFC8275D8E48DD87E064A08425CC56",1)</v>
      </c>
      <c r="B837" t="s">
        <v>1896</v>
      </c>
      <c r="C837" t="s">
        <v>2104</v>
      </c>
      <c r="D837" t="s">
        <v>552</v>
      </c>
      <c r="E837" t="s">
        <v>507</v>
      </c>
      <c r="F837" t="s">
        <v>40</v>
      </c>
      <c r="G837" t="s">
        <v>120</v>
      </c>
      <c r="H837" t="s">
        <v>135</v>
      </c>
      <c r="I837" t="s">
        <v>25</v>
      </c>
      <c r="J837" t="s">
        <v>26</v>
      </c>
      <c r="K837" t="s">
        <v>27</v>
      </c>
      <c r="L837" t="s">
        <v>74</v>
      </c>
      <c r="M837" t="s">
        <v>29</v>
      </c>
      <c r="N837" t="s">
        <v>64</v>
      </c>
      <c r="O837" t="s">
        <v>31</v>
      </c>
      <c r="P837" t="s">
        <v>138</v>
      </c>
      <c r="Q837" t="s">
        <v>297</v>
      </c>
      <c r="R837" t="s">
        <v>526</v>
      </c>
      <c r="S837" t="s">
        <v>2105</v>
      </c>
    </row>
    <row r="838" ht="55" customHeight="1" spans="1:19">
      <c r="A838" s="1" t="str">
        <f>_xlfn.DISPIMG("ID_D960F5F0BA0A456680886A646A7CF1AB",1)</f>
        <v>=DISPIMG("ID_D960F5F0BA0A456680886A646A7CF1AB",1)</v>
      </c>
      <c r="B838" t="s">
        <v>476</v>
      </c>
      <c r="C838" t="s">
        <v>1823</v>
      </c>
      <c r="D838" t="s">
        <v>750</v>
      </c>
      <c r="E838" t="s">
        <v>316</v>
      </c>
      <c r="F838" t="s">
        <v>40</v>
      </c>
      <c r="G838" t="s">
        <v>41</v>
      </c>
      <c r="H838" t="s">
        <v>144</v>
      </c>
      <c r="I838" t="s">
        <v>42</v>
      </c>
      <c r="J838" t="s">
        <v>26</v>
      </c>
      <c r="K838" t="s">
        <v>27</v>
      </c>
      <c r="L838" t="s">
        <v>28</v>
      </c>
      <c r="M838" t="s">
        <v>29</v>
      </c>
      <c r="N838" t="s">
        <v>30</v>
      </c>
      <c r="O838" t="s">
        <v>31</v>
      </c>
      <c r="P838" t="s">
        <v>146</v>
      </c>
      <c r="Q838" t="s">
        <v>1203</v>
      </c>
      <c r="R838" t="s">
        <v>147</v>
      </c>
      <c r="S838" t="s">
        <v>2106</v>
      </c>
    </row>
    <row r="839" ht="55" customHeight="1" spans="1:19">
      <c r="A839" s="1" t="str">
        <f>_xlfn.DISPIMG("ID_B282B7CB0D834208BA1BDEF7E0942BB0",1)</f>
        <v>=DISPIMG("ID_B282B7CB0D834208BA1BDEF7E0942BB0",1)</v>
      </c>
      <c r="B839" t="s">
        <v>277</v>
      </c>
      <c r="C839" t="s">
        <v>1309</v>
      </c>
      <c r="D839" t="s">
        <v>400</v>
      </c>
      <c r="E839" t="s">
        <v>211</v>
      </c>
      <c r="F839" t="s">
        <v>91</v>
      </c>
      <c r="G839" t="s">
        <v>419</v>
      </c>
      <c r="H839" t="s">
        <v>211</v>
      </c>
      <c r="I839" t="s">
        <v>42</v>
      </c>
      <c r="J839" t="s">
        <v>26</v>
      </c>
      <c r="K839" t="s">
        <v>27</v>
      </c>
      <c r="L839" t="s">
        <v>53</v>
      </c>
      <c r="M839" t="s">
        <v>93</v>
      </c>
      <c r="N839" t="s">
        <v>30</v>
      </c>
      <c r="O839" t="s">
        <v>31</v>
      </c>
      <c r="P839" t="s">
        <v>65</v>
      </c>
      <c r="Q839" t="s">
        <v>167</v>
      </c>
      <c r="R839" t="s">
        <v>130</v>
      </c>
      <c r="S839" t="s">
        <v>2107</v>
      </c>
    </row>
    <row r="840" ht="55" customHeight="1" spans="1:19">
      <c r="A840" s="1" t="str">
        <f>_xlfn.DISPIMG("ID_C96D935EFAB047B0AE24D379AF5DA3B1",1)</f>
        <v>=DISPIMG("ID_C96D935EFAB047B0AE24D379AF5DA3B1",1)</v>
      </c>
      <c r="B840" t="s">
        <v>338</v>
      </c>
      <c r="C840" t="s">
        <v>819</v>
      </c>
      <c r="D840" t="s">
        <v>412</v>
      </c>
      <c r="E840" t="s">
        <v>1244</v>
      </c>
      <c r="F840" t="s">
        <v>91</v>
      </c>
      <c r="G840" t="s">
        <v>41</v>
      </c>
      <c r="H840" t="s">
        <v>1244</v>
      </c>
      <c r="I840" t="s">
        <v>25</v>
      </c>
      <c r="J840" t="s">
        <v>26</v>
      </c>
      <c r="K840" t="s">
        <v>27</v>
      </c>
      <c r="L840" t="s">
        <v>28</v>
      </c>
      <c r="M840" t="s">
        <v>93</v>
      </c>
      <c r="N840" t="s">
        <v>30</v>
      </c>
      <c r="O840" t="s">
        <v>31</v>
      </c>
      <c r="P840" t="s">
        <v>1677</v>
      </c>
      <c r="Q840" t="s">
        <v>76</v>
      </c>
      <c r="R840" t="s">
        <v>191</v>
      </c>
      <c r="S840" t="s">
        <v>2108</v>
      </c>
    </row>
    <row r="841" ht="55" customHeight="1" spans="1:19">
      <c r="A841" s="1" t="str">
        <f>_xlfn.DISPIMG("ID_4C8EFFC1AA6C4FAE95D19628EC6F5F76",1)</f>
        <v>=DISPIMG("ID_4C8EFFC1AA6C4FAE95D19628EC6F5F76",1)</v>
      </c>
      <c r="B841" t="s">
        <v>2109</v>
      </c>
      <c r="C841" t="s">
        <v>1439</v>
      </c>
      <c r="D841" t="s">
        <v>556</v>
      </c>
      <c r="E841" t="s">
        <v>72</v>
      </c>
      <c r="F841" t="s">
        <v>91</v>
      </c>
      <c r="G841" t="s">
        <v>41</v>
      </c>
      <c r="H841" t="s">
        <v>72</v>
      </c>
      <c r="I841" t="s">
        <v>175</v>
      </c>
      <c r="J841" t="s">
        <v>26</v>
      </c>
      <c r="K841" t="s">
        <v>27</v>
      </c>
      <c r="L841" t="s">
        <v>231</v>
      </c>
      <c r="M841" t="s">
        <v>93</v>
      </c>
      <c r="N841" t="s">
        <v>30</v>
      </c>
      <c r="O841" t="s">
        <v>31</v>
      </c>
      <c r="P841" t="s">
        <v>473</v>
      </c>
      <c r="Q841" t="s">
        <v>76</v>
      </c>
      <c r="R841" t="s">
        <v>1164</v>
      </c>
      <c r="S841" t="s">
        <v>2110</v>
      </c>
    </row>
    <row r="842" ht="55" customHeight="1" spans="1:19">
      <c r="A842" s="1" t="str">
        <f>_xlfn.DISPIMG("ID_DF7E4DDF67E342CDBCF2EC363EDCC2DB",1)</f>
        <v>=DISPIMG("ID_DF7E4DDF67E342CDBCF2EC363EDCC2DB",1)</v>
      </c>
      <c r="B842" t="s">
        <v>201</v>
      </c>
      <c r="C842" t="s">
        <v>1955</v>
      </c>
      <c r="D842" t="s">
        <v>349</v>
      </c>
      <c r="E842" t="s">
        <v>84</v>
      </c>
      <c r="F842" t="s">
        <v>40</v>
      </c>
      <c r="G842" t="s">
        <v>2111</v>
      </c>
      <c r="H842" t="s">
        <v>84</v>
      </c>
      <c r="I842" t="s">
        <v>42</v>
      </c>
      <c r="J842" t="s">
        <v>26</v>
      </c>
      <c r="K842" t="s">
        <v>27</v>
      </c>
      <c r="L842" t="s">
        <v>28</v>
      </c>
      <c r="M842" t="s">
        <v>29</v>
      </c>
      <c r="N842" t="s">
        <v>30</v>
      </c>
      <c r="O842" t="s">
        <v>31</v>
      </c>
      <c r="P842" t="s">
        <v>138</v>
      </c>
      <c r="Q842" t="s">
        <v>539</v>
      </c>
      <c r="R842" t="s">
        <v>86</v>
      </c>
      <c r="S842" t="s">
        <v>2112</v>
      </c>
    </row>
    <row r="843" ht="55" customHeight="1" spans="1:19">
      <c r="A843" s="1" t="str">
        <f>_xlfn.DISPIMG("ID_EE18C0F22280459198228C440DFFD7FF",1)</f>
        <v>=DISPIMG("ID_EE18C0F22280459198228C440DFFD7FF",1)</v>
      </c>
      <c r="B843" t="s">
        <v>42</v>
      </c>
      <c r="C843" t="s">
        <v>2113</v>
      </c>
      <c r="D843" t="s">
        <v>799</v>
      </c>
      <c r="E843" t="s">
        <v>929</v>
      </c>
      <c r="F843" t="s">
        <v>40</v>
      </c>
      <c r="G843" t="s">
        <v>1657</v>
      </c>
      <c r="H843" t="s">
        <v>357</v>
      </c>
      <c r="I843" t="s">
        <v>42</v>
      </c>
      <c r="J843" t="s">
        <v>26</v>
      </c>
      <c r="K843" t="s">
        <v>27</v>
      </c>
      <c r="L843" t="s">
        <v>28</v>
      </c>
      <c r="M843" t="s">
        <v>29</v>
      </c>
      <c r="N843" t="s">
        <v>30</v>
      </c>
      <c r="O843" t="s">
        <v>31</v>
      </c>
      <c r="P843" t="s">
        <v>414</v>
      </c>
      <c r="Q843" t="s">
        <v>352</v>
      </c>
      <c r="R843" t="s">
        <v>45</v>
      </c>
      <c r="S843" t="s">
        <v>2114</v>
      </c>
    </row>
    <row r="844" ht="55" customHeight="1" spans="1:19">
      <c r="A844" s="1" t="str">
        <f>_xlfn.DISPIMG("ID_AC71F6B79C90410E8DD76B29D6757412",1)</f>
        <v>=DISPIMG("ID_AC71F6B79C90410E8DD76B29D6757412",1)</v>
      </c>
      <c r="B844" t="s">
        <v>236</v>
      </c>
      <c r="C844" t="s">
        <v>2115</v>
      </c>
      <c r="D844" t="s">
        <v>160</v>
      </c>
      <c r="E844" t="s">
        <v>161</v>
      </c>
      <c r="F844" t="s">
        <v>51</v>
      </c>
      <c r="G844" t="s">
        <v>402</v>
      </c>
      <c r="H844" t="s">
        <v>164</v>
      </c>
      <c r="I844" t="s">
        <v>42</v>
      </c>
      <c r="J844" t="s">
        <v>26</v>
      </c>
      <c r="K844" t="s">
        <v>27</v>
      </c>
      <c r="L844" t="s">
        <v>28</v>
      </c>
      <c r="M844" t="s">
        <v>29</v>
      </c>
      <c r="N844" t="s">
        <v>64</v>
      </c>
      <c r="O844" t="s">
        <v>31</v>
      </c>
      <c r="P844" t="s">
        <v>138</v>
      </c>
      <c r="Q844" t="s">
        <v>2116</v>
      </c>
      <c r="R844" t="s">
        <v>104</v>
      </c>
      <c r="S844" t="s">
        <v>2117</v>
      </c>
    </row>
    <row r="845" ht="55" customHeight="1" spans="1:19">
      <c r="A845" s="1" t="str">
        <f>_xlfn.DISPIMG("ID_E5D01F08F3704A10A0F4756732C5AB16",1)</f>
        <v>=DISPIMG("ID_E5D01F08F3704A10A0F4756732C5AB16",1)</v>
      </c>
      <c r="B845" t="s">
        <v>1101</v>
      </c>
      <c r="C845" t="s">
        <v>2118</v>
      </c>
      <c r="D845" t="s">
        <v>435</v>
      </c>
      <c r="E845" t="s">
        <v>518</v>
      </c>
      <c r="F845" t="s">
        <v>40</v>
      </c>
      <c r="G845" t="s">
        <v>2119</v>
      </c>
      <c r="H845" t="s">
        <v>518</v>
      </c>
      <c r="I845" t="s">
        <v>42</v>
      </c>
      <c r="J845" t="s">
        <v>26</v>
      </c>
      <c r="K845" t="s">
        <v>27</v>
      </c>
      <c r="L845" t="s">
        <v>28</v>
      </c>
      <c r="M845" t="s">
        <v>29</v>
      </c>
      <c r="N845" t="s">
        <v>30</v>
      </c>
      <c r="O845" t="s">
        <v>31</v>
      </c>
      <c r="P845" t="s">
        <v>75</v>
      </c>
      <c r="Q845" t="s">
        <v>113</v>
      </c>
      <c r="R845" t="s">
        <v>45</v>
      </c>
      <c r="S845" t="s">
        <v>2120</v>
      </c>
    </row>
    <row r="846" ht="55" customHeight="1" spans="1:19">
      <c r="A846" s="1" t="str">
        <f>_xlfn.DISPIMG("ID_BBE47B34337540B79056B4E8FE0DA3B5",1)</f>
        <v>=DISPIMG("ID_BBE47B34337540B79056B4E8FE0DA3B5",1)</v>
      </c>
      <c r="B846" t="s">
        <v>447</v>
      </c>
      <c r="C846" t="s">
        <v>2121</v>
      </c>
      <c r="D846" t="s">
        <v>1151</v>
      </c>
      <c r="E846" t="s">
        <v>100</v>
      </c>
      <c r="F846" t="s">
        <v>162</v>
      </c>
      <c r="G846" t="s">
        <v>402</v>
      </c>
      <c r="H846" t="s">
        <v>100</v>
      </c>
      <c r="I846" t="s">
        <v>175</v>
      </c>
      <c r="J846" t="s">
        <v>26</v>
      </c>
      <c r="K846" t="s">
        <v>27</v>
      </c>
      <c r="L846" t="s">
        <v>323</v>
      </c>
      <c r="M846" t="s">
        <v>166</v>
      </c>
      <c r="N846" t="s">
        <v>30</v>
      </c>
      <c r="O846" t="s">
        <v>31</v>
      </c>
      <c r="P846" t="s">
        <v>75</v>
      </c>
      <c r="Q846" t="s">
        <v>677</v>
      </c>
      <c r="R846" t="s">
        <v>888</v>
      </c>
      <c r="S846" t="s">
        <v>2122</v>
      </c>
    </row>
    <row r="847" ht="55" customHeight="1" spans="1:19">
      <c r="A847" s="1" t="str">
        <f>_xlfn.DISPIMG("ID_5118BCC3D2304CB6943DE550CCF238D8",1)</f>
        <v>=DISPIMG("ID_5118BCC3D2304CB6943DE550CCF238D8",1)</v>
      </c>
      <c r="B847" t="s">
        <v>149</v>
      </c>
      <c r="C847" t="s">
        <v>591</v>
      </c>
      <c r="D847" t="s">
        <v>151</v>
      </c>
      <c r="E847" t="s">
        <v>63</v>
      </c>
      <c r="F847" t="s">
        <v>51</v>
      </c>
      <c r="G847" t="s">
        <v>101</v>
      </c>
      <c r="H847" t="s">
        <v>63</v>
      </c>
      <c r="I847" t="s">
        <v>25</v>
      </c>
      <c r="J847" t="s">
        <v>26</v>
      </c>
      <c r="K847" t="s">
        <v>27</v>
      </c>
      <c r="L847" t="s">
        <v>74</v>
      </c>
      <c r="M847" t="s">
        <v>29</v>
      </c>
      <c r="N847" t="s">
        <v>30</v>
      </c>
      <c r="O847" t="s">
        <v>153</v>
      </c>
      <c r="P847" t="s">
        <v>301</v>
      </c>
      <c r="Q847" t="s">
        <v>113</v>
      </c>
      <c r="R847" t="s">
        <v>2123</v>
      </c>
      <c r="S847" t="s">
        <v>2124</v>
      </c>
    </row>
    <row r="848" ht="55" customHeight="1" spans="1:19">
      <c r="A848" s="1" t="str">
        <f>_xlfn.DISPIMG("ID_CC6496A77A7940AA8DE2D8CC0006504F",1)</f>
        <v>=DISPIMG("ID_CC6496A77A7940AA8DE2D8CC0006504F",1)</v>
      </c>
      <c r="B848" t="s">
        <v>1324</v>
      </c>
      <c r="C848" t="s">
        <v>1156</v>
      </c>
      <c r="D848" t="s">
        <v>160</v>
      </c>
      <c r="E848" t="s">
        <v>1041</v>
      </c>
      <c r="F848" t="s">
        <v>401</v>
      </c>
      <c r="G848" t="s">
        <v>1186</v>
      </c>
      <c r="H848" t="s">
        <v>659</v>
      </c>
      <c r="I848" t="s">
        <v>175</v>
      </c>
      <c r="J848" t="s">
        <v>26</v>
      </c>
      <c r="K848" t="s">
        <v>27</v>
      </c>
      <c r="L848" t="s">
        <v>28</v>
      </c>
      <c r="M848" t="s">
        <v>403</v>
      </c>
      <c r="N848" t="s">
        <v>30</v>
      </c>
      <c r="O848" t="s">
        <v>404</v>
      </c>
      <c r="P848" t="s">
        <v>75</v>
      </c>
      <c r="Q848" t="s">
        <v>167</v>
      </c>
      <c r="R848" t="s">
        <v>324</v>
      </c>
      <c r="S848" t="s">
        <v>2125</v>
      </c>
    </row>
    <row r="849" ht="55" customHeight="1" spans="1:19">
      <c r="A849" s="1" t="str">
        <f>_xlfn.DISPIMG("ID_A24FDC2AC1564F369480B596474F4BE5",1)</f>
        <v>=DISPIMG("ID_A24FDC2AC1564F369480B596474F4BE5",1)</v>
      </c>
      <c r="B849" t="s">
        <v>282</v>
      </c>
      <c r="C849" t="s">
        <v>382</v>
      </c>
      <c r="D849" t="s">
        <v>973</v>
      </c>
      <c r="E849" t="s">
        <v>61</v>
      </c>
      <c r="F849" t="s">
        <v>40</v>
      </c>
      <c r="G849" t="s">
        <v>73</v>
      </c>
      <c r="H849" t="s">
        <v>63</v>
      </c>
      <c r="I849" t="s">
        <v>42</v>
      </c>
      <c r="J849" t="s">
        <v>26</v>
      </c>
      <c r="K849" t="s">
        <v>27</v>
      </c>
      <c r="L849" t="s">
        <v>28</v>
      </c>
      <c r="M849" t="s">
        <v>29</v>
      </c>
      <c r="N849" t="s">
        <v>30</v>
      </c>
      <c r="O849" t="s">
        <v>31</v>
      </c>
      <c r="P849" t="s">
        <v>75</v>
      </c>
      <c r="Q849" t="s">
        <v>66</v>
      </c>
      <c r="R849" t="s">
        <v>45</v>
      </c>
      <c r="S849" t="s">
        <v>2126</v>
      </c>
    </row>
    <row r="850" ht="55" customHeight="1" spans="1:19">
      <c r="A850" s="1" t="str">
        <f>_xlfn.DISPIMG("ID_C8C9DB244BE142D3A51A4EACB24B3E5D",1)</f>
        <v>=DISPIMG("ID_C8C9DB244BE142D3A51A4EACB24B3E5D",1)</v>
      </c>
      <c r="B850" t="s">
        <v>1583</v>
      </c>
      <c r="C850" t="s">
        <v>2127</v>
      </c>
      <c r="D850" t="s">
        <v>789</v>
      </c>
      <c r="E850" t="s">
        <v>659</v>
      </c>
      <c r="F850" t="s">
        <v>173</v>
      </c>
      <c r="G850" t="s">
        <v>408</v>
      </c>
      <c r="H850" t="s">
        <v>659</v>
      </c>
      <c r="I850" t="s">
        <v>137</v>
      </c>
      <c r="J850" t="s">
        <v>26</v>
      </c>
      <c r="K850" t="s">
        <v>27</v>
      </c>
      <c r="L850" t="s">
        <v>748</v>
      </c>
      <c r="M850" t="s">
        <v>93</v>
      </c>
      <c r="N850" t="s">
        <v>30</v>
      </c>
      <c r="O850" t="s">
        <v>31</v>
      </c>
      <c r="P850" t="s">
        <v>65</v>
      </c>
      <c r="Q850" t="s">
        <v>297</v>
      </c>
      <c r="R850" t="s">
        <v>1586</v>
      </c>
      <c r="S850" t="s">
        <v>2128</v>
      </c>
    </row>
    <row r="851" ht="55" customHeight="1" spans="1:19">
      <c r="A851" s="1" t="str">
        <f>_xlfn.DISPIMG("ID_AE223A8C35924A649945389D4AB2FEEE",1)</f>
        <v>=DISPIMG("ID_AE223A8C35924A649945389D4AB2FEEE",1)</v>
      </c>
      <c r="B851" t="s">
        <v>877</v>
      </c>
      <c r="C851" t="s">
        <v>823</v>
      </c>
      <c r="D851" t="s">
        <v>506</v>
      </c>
      <c r="E851" t="s">
        <v>507</v>
      </c>
      <c r="F851" t="s">
        <v>878</v>
      </c>
      <c r="G851" t="s">
        <v>312</v>
      </c>
      <c r="H851" t="s">
        <v>135</v>
      </c>
      <c r="I851" t="s">
        <v>189</v>
      </c>
      <c r="J851" t="s">
        <v>26</v>
      </c>
      <c r="K851" t="s">
        <v>27</v>
      </c>
      <c r="L851" t="s">
        <v>323</v>
      </c>
      <c r="M851" t="s">
        <v>93</v>
      </c>
      <c r="N851" t="s">
        <v>30</v>
      </c>
      <c r="O851" t="s">
        <v>31</v>
      </c>
      <c r="P851" t="s">
        <v>65</v>
      </c>
      <c r="Q851" t="s">
        <v>167</v>
      </c>
      <c r="R851" t="s">
        <v>880</v>
      </c>
      <c r="S851" t="s">
        <v>2129</v>
      </c>
    </row>
    <row r="852" ht="55" customHeight="1" spans="1:19">
      <c r="A852" s="1" t="str">
        <f>_xlfn.DISPIMG("ID_69FA9EE6245749E1B6F278FD5EBBB1E2",1)</f>
        <v>=DISPIMG("ID_69FA9EE6245749E1B6F278FD5EBBB1E2",1)</v>
      </c>
      <c r="B852" t="s">
        <v>2130</v>
      </c>
      <c r="C852" t="s">
        <v>2131</v>
      </c>
      <c r="D852" t="s">
        <v>865</v>
      </c>
      <c r="E852" t="s">
        <v>204</v>
      </c>
      <c r="F852" t="s">
        <v>91</v>
      </c>
      <c r="G852" t="s">
        <v>1115</v>
      </c>
      <c r="H852" t="s">
        <v>72</v>
      </c>
      <c r="I852" t="s">
        <v>175</v>
      </c>
      <c r="J852" t="s">
        <v>26</v>
      </c>
      <c r="K852" t="s">
        <v>27</v>
      </c>
      <c r="L852" t="s">
        <v>28</v>
      </c>
      <c r="M852" t="s">
        <v>93</v>
      </c>
      <c r="N852" t="s">
        <v>30</v>
      </c>
      <c r="O852" t="s">
        <v>31</v>
      </c>
      <c r="P852" t="s">
        <v>75</v>
      </c>
      <c r="Q852" t="s">
        <v>359</v>
      </c>
      <c r="R852" t="s">
        <v>816</v>
      </c>
      <c r="S852" t="s">
        <v>2132</v>
      </c>
    </row>
    <row r="853" ht="55" customHeight="1" spans="1:19">
      <c r="A853" s="1" t="str">
        <f>_xlfn.DISPIMG("ID_BF4F9CBC44AF4308A936363D534AF236",1)</f>
        <v>=DISPIMG("ID_BF4F9CBC44AF4308A936363D534AF236",1)</v>
      </c>
      <c r="B853" t="s">
        <v>366</v>
      </c>
      <c r="C853" t="s">
        <v>289</v>
      </c>
      <c r="D853" t="s">
        <v>435</v>
      </c>
      <c r="E853" t="s">
        <v>63</v>
      </c>
      <c r="F853" t="s">
        <v>245</v>
      </c>
      <c r="G853" t="s">
        <v>120</v>
      </c>
      <c r="H853" t="s">
        <v>63</v>
      </c>
      <c r="I853" t="s">
        <v>165</v>
      </c>
      <c r="J853" t="s">
        <v>26</v>
      </c>
      <c r="K853" t="s">
        <v>27</v>
      </c>
      <c r="L853" t="s">
        <v>231</v>
      </c>
      <c r="M853" t="s">
        <v>93</v>
      </c>
      <c r="N853" t="s">
        <v>30</v>
      </c>
      <c r="O853" t="s">
        <v>31</v>
      </c>
      <c r="P853" t="s">
        <v>146</v>
      </c>
      <c r="Q853" t="s">
        <v>2133</v>
      </c>
      <c r="R853" t="s">
        <v>370</v>
      </c>
      <c r="S853" t="s">
        <v>2134</v>
      </c>
    </row>
    <row r="854" ht="55" customHeight="1" spans="1:19">
      <c r="A854" s="1" t="str">
        <f>_xlfn.DISPIMG("ID_304BBE96815E40F8AA1D2DE2B2A26076",1)</f>
        <v>=DISPIMG("ID_304BBE96815E40F8AA1D2DE2B2A26076",1)</v>
      </c>
      <c r="B854" t="s">
        <v>1155</v>
      </c>
      <c r="C854" t="s">
        <v>2135</v>
      </c>
      <c r="D854" t="s">
        <v>511</v>
      </c>
      <c r="E854" t="s">
        <v>204</v>
      </c>
      <c r="F854" t="s">
        <v>173</v>
      </c>
      <c r="G854" t="s">
        <v>127</v>
      </c>
      <c r="H854" t="s">
        <v>72</v>
      </c>
      <c r="I854" t="s">
        <v>175</v>
      </c>
      <c r="J854" t="s">
        <v>26</v>
      </c>
      <c r="K854" t="s">
        <v>27</v>
      </c>
      <c r="L854" t="s">
        <v>323</v>
      </c>
      <c r="M854" t="s">
        <v>93</v>
      </c>
      <c r="N854" t="s">
        <v>30</v>
      </c>
      <c r="O854" t="s">
        <v>31</v>
      </c>
      <c r="P854" t="s">
        <v>268</v>
      </c>
      <c r="Q854" t="s">
        <v>539</v>
      </c>
      <c r="R854" t="s">
        <v>820</v>
      </c>
      <c r="S854" t="s">
        <v>2136</v>
      </c>
    </row>
    <row r="855" ht="55" customHeight="1" spans="1:19">
      <c r="A855" s="1" t="str">
        <f>_xlfn.DISPIMG("ID_9FB15386BF3B42E4BCBCEA87E17959F0",1)</f>
        <v>=DISPIMG("ID_9FB15386BF3B42E4BCBCEA87E17959F0",1)</v>
      </c>
      <c r="B855" t="s">
        <v>295</v>
      </c>
      <c r="C855" t="s">
        <v>1051</v>
      </c>
      <c r="D855" t="s">
        <v>1478</v>
      </c>
      <c r="E855" t="s">
        <v>111</v>
      </c>
      <c r="F855" t="s">
        <v>91</v>
      </c>
      <c r="G855" t="s">
        <v>334</v>
      </c>
      <c r="H855" t="s">
        <v>111</v>
      </c>
      <c r="I855" t="s">
        <v>42</v>
      </c>
      <c r="J855" t="s">
        <v>26</v>
      </c>
      <c r="K855" t="s">
        <v>27</v>
      </c>
      <c r="L855" t="s">
        <v>28</v>
      </c>
      <c r="M855" t="s">
        <v>93</v>
      </c>
      <c r="N855" t="s">
        <v>30</v>
      </c>
      <c r="O855" t="s">
        <v>31</v>
      </c>
      <c r="P855" t="s">
        <v>112</v>
      </c>
      <c r="Q855" t="s">
        <v>525</v>
      </c>
      <c r="R855" t="s">
        <v>130</v>
      </c>
      <c r="S855" t="s">
        <v>2137</v>
      </c>
    </row>
    <row r="856" ht="55" customHeight="1" spans="1:19">
      <c r="A856" s="1" t="str">
        <f>_xlfn.DISPIMG("ID_AE0372E8EA00493BBE331A352813CF5C",1)</f>
        <v>=DISPIMG("ID_AE0372E8EA00493BBE331A352813CF5C",1)</v>
      </c>
      <c r="B856" t="s">
        <v>675</v>
      </c>
      <c r="C856" t="s">
        <v>159</v>
      </c>
      <c r="D856" t="s">
        <v>90</v>
      </c>
      <c r="E856" t="s">
        <v>39</v>
      </c>
      <c r="F856" t="s">
        <v>173</v>
      </c>
      <c r="G856" t="s">
        <v>41</v>
      </c>
      <c r="H856" t="s">
        <v>39</v>
      </c>
      <c r="I856" t="s">
        <v>137</v>
      </c>
      <c r="J856" t="s">
        <v>26</v>
      </c>
      <c r="K856" t="s">
        <v>27</v>
      </c>
      <c r="L856" t="s">
        <v>28</v>
      </c>
      <c r="M856" t="s">
        <v>93</v>
      </c>
      <c r="N856" t="s">
        <v>30</v>
      </c>
      <c r="O856" t="s">
        <v>31</v>
      </c>
      <c r="P856" t="s">
        <v>138</v>
      </c>
      <c r="Q856" t="s">
        <v>76</v>
      </c>
      <c r="R856" t="s">
        <v>618</v>
      </c>
      <c r="S856" t="s">
        <v>2138</v>
      </c>
    </row>
    <row r="857" ht="55" customHeight="1" spans="1:19">
      <c r="A857" s="1" t="str">
        <f>_xlfn.DISPIMG("ID_A3767FD7D60A468186C3831E2FA6B960",1)</f>
        <v>=DISPIMG("ID_A3767FD7D60A468186C3831E2FA6B960",1)</v>
      </c>
      <c r="B857" t="s">
        <v>1298</v>
      </c>
      <c r="C857" t="s">
        <v>2139</v>
      </c>
      <c r="D857" t="s">
        <v>483</v>
      </c>
      <c r="E857" t="s">
        <v>328</v>
      </c>
      <c r="F857" t="s">
        <v>40</v>
      </c>
      <c r="G857" t="s">
        <v>638</v>
      </c>
      <c r="H857" t="s">
        <v>119</v>
      </c>
      <c r="I857" t="s">
        <v>42</v>
      </c>
      <c r="J857" t="s">
        <v>26</v>
      </c>
      <c r="K857" t="s">
        <v>27</v>
      </c>
      <c r="L857" t="s">
        <v>28</v>
      </c>
      <c r="M857" t="s">
        <v>29</v>
      </c>
      <c r="N857" t="s">
        <v>30</v>
      </c>
      <c r="O857" t="s">
        <v>31</v>
      </c>
      <c r="P857" t="s">
        <v>247</v>
      </c>
      <c r="Q857" t="s">
        <v>113</v>
      </c>
      <c r="R857" t="s">
        <v>1757</v>
      </c>
      <c r="S857" t="s">
        <v>2140</v>
      </c>
    </row>
    <row r="858" ht="55" customHeight="1" spans="1:19">
      <c r="A858" s="1" t="str">
        <f>_xlfn.DISPIMG("ID_72106FC3041E41E18AC7DF159DCE0548",1)</f>
        <v>=DISPIMG("ID_72106FC3041E41E18AC7DF159DCE0548",1)</v>
      </c>
      <c r="B858" t="s">
        <v>2141</v>
      </c>
      <c r="C858" t="s">
        <v>2142</v>
      </c>
      <c r="D858" t="s">
        <v>1662</v>
      </c>
      <c r="E858" t="s">
        <v>1244</v>
      </c>
      <c r="F858" t="s">
        <v>228</v>
      </c>
      <c r="G858" t="s">
        <v>500</v>
      </c>
      <c r="H858" t="s">
        <v>2143</v>
      </c>
      <c r="I858" t="s">
        <v>165</v>
      </c>
      <c r="J858" t="s">
        <v>230</v>
      </c>
      <c r="K858" t="s">
        <v>27</v>
      </c>
      <c r="L858" t="s">
        <v>28</v>
      </c>
      <c r="M858" t="s">
        <v>232</v>
      </c>
      <c r="N858" t="s">
        <v>30</v>
      </c>
      <c r="O858" t="s">
        <v>31</v>
      </c>
      <c r="P858" t="s">
        <v>965</v>
      </c>
      <c r="Q858" t="s">
        <v>113</v>
      </c>
      <c r="R858" t="s">
        <v>147</v>
      </c>
      <c r="S858" t="s">
        <v>2144</v>
      </c>
    </row>
    <row r="859" ht="55" customHeight="1" spans="1:19">
      <c r="A859" s="1" t="str">
        <f>_xlfn.DISPIMG("ID_7E6B4E29B0BA488C8C1E3ED45BB88CC0",1)</f>
        <v>=DISPIMG("ID_7E6B4E29B0BA488C8C1E3ED45BB88CC0",1)</v>
      </c>
      <c r="B859" t="s">
        <v>2145</v>
      </c>
      <c r="C859" t="s">
        <v>908</v>
      </c>
      <c r="D859" t="s">
        <v>435</v>
      </c>
      <c r="E859" t="s">
        <v>518</v>
      </c>
      <c r="F859" t="s">
        <v>40</v>
      </c>
      <c r="G859" t="s">
        <v>2146</v>
      </c>
      <c r="H859" t="s">
        <v>518</v>
      </c>
      <c r="I859" t="s">
        <v>25</v>
      </c>
      <c r="J859" t="s">
        <v>26</v>
      </c>
      <c r="K859" t="s">
        <v>27</v>
      </c>
      <c r="L859" t="s">
        <v>74</v>
      </c>
      <c r="M859" t="s">
        <v>29</v>
      </c>
      <c r="N859" t="s">
        <v>64</v>
      </c>
      <c r="O859" t="s">
        <v>153</v>
      </c>
      <c r="P859" t="s">
        <v>128</v>
      </c>
      <c r="Q859" t="s">
        <v>55</v>
      </c>
      <c r="R859" t="s">
        <v>945</v>
      </c>
      <c r="S859" t="s">
        <v>2147</v>
      </c>
    </row>
    <row r="860" ht="55" customHeight="1" spans="1:19">
      <c r="A860" s="1" t="str">
        <f>_xlfn.DISPIMG("ID_E694D56CD2534EFD842A83A1A27B2CA0",1)</f>
        <v>=DISPIMG("ID_E694D56CD2534EFD842A83A1A27B2CA0",1)</v>
      </c>
      <c r="B860" t="s">
        <v>534</v>
      </c>
      <c r="C860" t="s">
        <v>2148</v>
      </c>
      <c r="D860" t="s">
        <v>118</v>
      </c>
      <c r="E860" t="s">
        <v>119</v>
      </c>
      <c r="F860" t="s">
        <v>40</v>
      </c>
      <c r="G860" t="s">
        <v>120</v>
      </c>
      <c r="H860" t="s">
        <v>119</v>
      </c>
      <c r="I860" t="s">
        <v>42</v>
      </c>
      <c r="J860" t="s">
        <v>26</v>
      </c>
      <c r="K860" t="s">
        <v>27</v>
      </c>
      <c r="L860" t="s">
        <v>74</v>
      </c>
      <c r="M860" t="s">
        <v>29</v>
      </c>
      <c r="N860" t="s">
        <v>30</v>
      </c>
      <c r="O860" t="s">
        <v>31</v>
      </c>
      <c r="P860" t="s">
        <v>65</v>
      </c>
      <c r="Q860" t="s">
        <v>297</v>
      </c>
      <c r="R860" t="s">
        <v>1801</v>
      </c>
      <c r="S860" t="s">
        <v>2149</v>
      </c>
    </row>
    <row r="861" ht="55" customHeight="1" spans="1:19">
      <c r="A861" s="1" t="str">
        <f>_xlfn.DISPIMG("ID_A978556E79FF4B0DB72871FD05144B95",1)</f>
        <v>=DISPIMG("ID_A978556E79FF4B0DB72871FD05144B95",1)</v>
      </c>
      <c r="B861" t="s">
        <v>326</v>
      </c>
      <c r="C861" t="s">
        <v>2150</v>
      </c>
      <c r="D861" t="s">
        <v>750</v>
      </c>
      <c r="E861" t="s">
        <v>316</v>
      </c>
      <c r="F861" t="s">
        <v>212</v>
      </c>
      <c r="G861" t="s">
        <v>2151</v>
      </c>
      <c r="H861" t="s">
        <v>486</v>
      </c>
      <c r="I861" t="s">
        <v>189</v>
      </c>
      <c r="J861" t="s">
        <v>26</v>
      </c>
      <c r="K861" t="s">
        <v>27</v>
      </c>
      <c r="L861" t="s">
        <v>329</v>
      </c>
      <c r="M861" t="s">
        <v>93</v>
      </c>
      <c r="N861" t="s">
        <v>30</v>
      </c>
      <c r="O861" t="s">
        <v>31</v>
      </c>
      <c r="P861" t="s">
        <v>221</v>
      </c>
      <c r="Q861" t="s">
        <v>85</v>
      </c>
      <c r="R861" t="s">
        <v>147</v>
      </c>
      <c r="S861" t="s">
        <v>2152</v>
      </c>
    </row>
    <row r="862" ht="55" customHeight="1" spans="1:19">
      <c r="A862" s="1" t="str">
        <f>_xlfn.DISPIMG("ID_12E4B87AC9A64DE8BAA50BA0BF9C08EF",1)</f>
        <v>=DISPIMG("ID_12E4B87AC9A64DE8BAA50BA0BF9C08EF",1)</v>
      </c>
      <c r="B862" t="s">
        <v>106</v>
      </c>
      <c r="C862" t="s">
        <v>1501</v>
      </c>
      <c r="D862" t="s">
        <v>304</v>
      </c>
      <c r="E862" t="s">
        <v>305</v>
      </c>
      <c r="F862" t="s">
        <v>40</v>
      </c>
      <c r="G862" t="s">
        <v>254</v>
      </c>
      <c r="H862" t="s">
        <v>50</v>
      </c>
      <c r="I862" t="s">
        <v>42</v>
      </c>
      <c r="J862" t="s">
        <v>26</v>
      </c>
      <c r="K862" t="s">
        <v>27</v>
      </c>
      <c r="L862" t="s">
        <v>53</v>
      </c>
      <c r="M862" t="s">
        <v>29</v>
      </c>
      <c r="N862" t="s">
        <v>30</v>
      </c>
      <c r="O862" t="s">
        <v>31</v>
      </c>
      <c r="P862" t="s">
        <v>54</v>
      </c>
      <c r="Q862" t="s">
        <v>612</v>
      </c>
      <c r="R862" t="s">
        <v>114</v>
      </c>
      <c r="S862" t="s">
        <v>2153</v>
      </c>
    </row>
    <row r="863" ht="55" customHeight="1" spans="1:19">
      <c r="A863" s="1" t="str">
        <f>_xlfn.DISPIMG("ID_3369FB9E9E1D4816A987AE848F8A1E97",1)</f>
        <v>=DISPIMG("ID_3369FB9E9E1D4816A987AE848F8A1E97",1)</v>
      </c>
      <c r="B863" t="s">
        <v>406</v>
      </c>
      <c r="C863" t="s">
        <v>2154</v>
      </c>
      <c r="D863" t="s">
        <v>973</v>
      </c>
      <c r="E863" t="s">
        <v>1319</v>
      </c>
      <c r="F863" t="s">
        <v>40</v>
      </c>
      <c r="G863" t="s">
        <v>383</v>
      </c>
      <c r="H863" t="s">
        <v>518</v>
      </c>
      <c r="I863" t="s">
        <v>42</v>
      </c>
      <c r="J863" t="s">
        <v>26</v>
      </c>
      <c r="K863" t="s">
        <v>27</v>
      </c>
      <c r="L863" t="s">
        <v>28</v>
      </c>
      <c r="M863" t="s">
        <v>29</v>
      </c>
      <c r="N863" t="s">
        <v>30</v>
      </c>
      <c r="O863" t="s">
        <v>31</v>
      </c>
      <c r="P863" t="s">
        <v>221</v>
      </c>
      <c r="Q863" t="s">
        <v>66</v>
      </c>
      <c r="R863" t="s">
        <v>409</v>
      </c>
      <c r="S863" t="s">
        <v>2155</v>
      </c>
    </row>
    <row r="864" ht="55" customHeight="1" spans="1:19">
      <c r="A864" s="1" t="str">
        <f>_xlfn.DISPIMG("ID_8CC2304C525C4AFCA0F7D11813D83DB0",1)</f>
        <v>=DISPIMG("ID_8CC2304C525C4AFCA0F7D11813D83DB0",1)</v>
      </c>
      <c r="B864" t="s">
        <v>2156</v>
      </c>
      <c r="C864" t="s">
        <v>1562</v>
      </c>
      <c r="D864" t="s">
        <v>118</v>
      </c>
      <c r="E864" t="s">
        <v>119</v>
      </c>
      <c r="F864" t="s">
        <v>91</v>
      </c>
      <c r="G864" t="s">
        <v>127</v>
      </c>
      <c r="H864" t="s">
        <v>119</v>
      </c>
      <c r="I864" t="s">
        <v>42</v>
      </c>
      <c r="J864" t="s">
        <v>26</v>
      </c>
      <c r="K864" t="s">
        <v>27</v>
      </c>
      <c r="L864" t="s">
        <v>28</v>
      </c>
      <c r="M864" t="s">
        <v>93</v>
      </c>
      <c r="N864" t="s">
        <v>30</v>
      </c>
      <c r="O864" t="s">
        <v>31</v>
      </c>
      <c r="P864" t="s">
        <v>247</v>
      </c>
      <c r="Q864" t="s">
        <v>415</v>
      </c>
      <c r="R864" t="s">
        <v>1761</v>
      </c>
      <c r="S864" t="s">
        <v>2157</v>
      </c>
    </row>
    <row r="865" ht="55" customHeight="1" spans="1:19">
      <c r="A865" s="1" t="str">
        <f>_xlfn.DISPIMG("ID_7203E3FCF56E4EDB8D16AEF2C96659D8",1)</f>
        <v>=DISPIMG("ID_7203E3FCF56E4EDB8D16AEF2C96659D8",1)</v>
      </c>
      <c r="B865" t="s">
        <v>320</v>
      </c>
      <c r="C865" t="s">
        <v>314</v>
      </c>
      <c r="D865" t="s">
        <v>1341</v>
      </c>
      <c r="E865" t="s">
        <v>111</v>
      </c>
      <c r="F865" t="s">
        <v>173</v>
      </c>
      <c r="G865" t="s">
        <v>431</v>
      </c>
      <c r="H865" t="s">
        <v>111</v>
      </c>
      <c r="I865" t="s">
        <v>175</v>
      </c>
      <c r="J865" t="s">
        <v>26</v>
      </c>
      <c r="K865" t="s">
        <v>27</v>
      </c>
      <c r="L865" t="s">
        <v>28</v>
      </c>
      <c r="M865" t="s">
        <v>93</v>
      </c>
      <c r="N865" t="s">
        <v>30</v>
      </c>
      <c r="O865" t="s">
        <v>31</v>
      </c>
      <c r="P865" t="s">
        <v>65</v>
      </c>
      <c r="Q865" t="s">
        <v>292</v>
      </c>
      <c r="R865" t="s">
        <v>324</v>
      </c>
      <c r="S865" t="s">
        <v>2158</v>
      </c>
    </row>
    <row r="866" ht="55" customHeight="1" spans="1:19">
      <c r="A866" s="1" t="str">
        <f>_xlfn.DISPIMG("ID_111D6A9E6A314F9B8476E13EEB2EEBCB",1)</f>
        <v>=DISPIMG("ID_111D6A9E6A314F9B8476E13EEB2EEBCB",1)</v>
      </c>
      <c r="B866" t="s">
        <v>2159</v>
      </c>
      <c r="C866" t="s">
        <v>126</v>
      </c>
      <c r="D866" t="s">
        <v>556</v>
      </c>
      <c r="E866" t="s">
        <v>72</v>
      </c>
      <c r="F866" t="s">
        <v>40</v>
      </c>
      <c r="G866" t="s">
        <v>387</v>
      </c>
      <c r="H866" t="s">
        <v>197</v>
      </c>
      <c r="I866" t="s">
        <v>175</v>
      </c>
      <c r="J866" t="s">
        <v>26</v>
      </c>
      <c r="K866" t="s">
        <v>27</v>
      </c>
      <c r="L866" t="s">
        <v>28</v>
      </c>
      <c r="M866" t="s">
        <v>29</v>
      </c>
      <c r="N866" t="s">
        <v>30</v>
      </c>
      <c r="O866" t="s">
        <v>31</v>
      </c>
      <c r="P866" t="s">
        <v>75</v>
      </c>
      <c r="Q866" t="s">
        <v>297</v>
      </c>
      <c r="R866" t="s">
        <v>2160</v>
      </c>
      <c r="S866" t="s">
        <v>2161</v>
      </c>
    </row>
    <row r="867" ht="55" customHeight="1" spans="1:19">
      <c r="A867" s="1" t="str">
        <f>_xlfn.DISPIMG("ID_C696F762AAB24F6FA9576484AB40E4F4",1)</f>
        <v>=DISPIMG("ID_C696F762AAB24F6FA9576484AB40E4F4",1)</v>
      </c>
      <c r="B867" t="s">
        <v>141</v>
      </c>
      <c r="C867" t="s">
        <v>386</v>
      </c>
      <c r="D867" t="s">
        <v>38</v>
      </c>
      <c r="E867" t="s">
        <v>731</v>
      </c>
      <c r="F867" t="s">
        <v>40</v>
      </c>
      <c r="G867" t="s">
        <v>561</v>
      </c>
      <c r="H867" t="s">
        <v>2162</v>
      </c>
      <c r="I867" t="s">
        <v>42</v>
      </c>
      <c r="J867" t="s">
        <v>26</v>
      </c>
      <c r="K867" t="s">
        <v>27</v>
      </c>
      <c r="L867" t="s">
        <v>74</v>
      </c>
      <c r="M867" t="s">
        <v>29</v>
      </c>
      <c r="N867" t="s">
        <v>30</v>
      </c>
      <c r="O867" t="s">
        <v>31</v>
      </c>
      <c r="P867" t="s">
        <v>75</v>
      </c>
      <c r="Q867" t="s">
        <v>297</v>
      </c>
      <c r="R867" t="s">
        <v>147</v>
      </c>
      <c r="S867" t="s">
        <v>2163</v>
      </c>
    </row>
    <row r="868" ht="55" customHeight="1" spans="1:19">
      <c r="A868" s="1" t="str">
        <f>_xlfn.DISPIMG("ID_13E538E9EA0A4E1693A88B6F3FC1A078",1)</f>
        <v>=DISPIMG("ID_13E538E9EA0A4E1693A88B6F3FC1A078",1)</v>
      </c>
      <c r="B868" t="s">
        <v>242</v>
      </c>
      <c r="C868" t="s">
        <v>258</v>
      </c>
      <c r="D868" t="s">
        <v>556</v>
      </c>
      <c r="E868" t="s">
        <v>72</v>
      </c>
      <c r="F868" t="s">
        <v>245</v>
      </c>
      <c r="G868" t="s">
        <v>724</v>
      </c>
      <c r="H868" t="s">
        <v>197</v>
      </c>
      <c r="I868" t="s">
        <v>165</v>
      </c>
      <c r="J868" t="s">
        <v>26</v>
      </c>
      <c r="K868" t="s">
        <v>27</v>
      </c>
      <c r="L868" t="s">
        <v>557</v>
      </c>
      <c r="M868" t="s">
        <v>93</v>
      </c>
      <c r="N868" t="s">
        <v>30</v>
      </c>
      <c r="O868" t="s">
        <v>31</v>
      </c>
      <c r="P868" t="s">
        <v>1886</v>
      </c>
      <c r="Q868" t="s">
        <v>369</v>
      </c>
      <c r="R868" t="s">
        <v>249</v>
      </c>
      <c r="S868" t="s">
        <v>2164</v>
      </c>
    </row>
    <row r="869" ht="55" customHeight="1" spans="1:19">
      <c r="A869" s="1" t="str">
        <f>_xlfn.DISPIMG("ID_6F9480F961A04DD0BEA4E2926DDB1591",1)</f>
        <v>=DISPIMG("ID_6F9480F961A04DD0BEA4E2926DDB1591",1)</v>
      </c>
      <c r="B869" t="s">
        <v>458</v>
      </c>
      <c r="C869" t="s">
        <v>498</v>
      </c>
      <c r="D869" t="s">
        <v>454</v>
      </c>
      <c r="E869" t="s">
        <v>135</v>
      </c>
      <c r="F869" t="s">
        <v>173</v>
      </c>
      <c r="G869" t="s">
        <v>1857</v>
      </c>
      <c r="H869" t="s">
        <v>135</v>
      </c>
      <c r="I869" t="s">
        <v>175</v>
      </c>
      <c r="J869" t="s">
        <v>26</v>
      </c>
      <c r="K869" t="s">
        <v>27</v>
      </c>
      <c r="L869" t="s">
        <v>28</v>
      </c>
      <c r="M869" t="s">
        <v>93</v>
      </c>
      <c r="N869" t="s">
        <v>30</v>
      </c>
      <c r="O869" t="s">
        <v>31</v>
      </c>
      <c r="P869" t="s">
        <v>75</v>
      </c>
      <c r="Q869" t="s">
        <v>765</v>
      </c>
      <c r="R869" t="s">
        <v>618</v>
      </c>
      <c r="S869" t="s">
        <v>2165</v>
      </c>
    </row>
    <row r="870" ht="55" customHeight="1" spans="1:19">
      <c r="A870" s="1" t="str">
        <f>_xlfn.DISPIMG("ID_D8FCE201226E4228B3BEBAE94316A7B4",1)</f>
        <v>=DISPIMG("ID_D8FCE201226E4228B3BEBAE94316A7B4",1)</v>
      </c>
      <c r="B870" t="s">
        <v>158</v>
      </c>
      <c r="C870" t="s">
        <v>187</v>
      </c>
      <c r="D870" t="s">
        <v>99</v>
      </c>
      <c r="E870" t="s">
        <v>100</v>
      </c>
      <c r="F870" t="s">
        <v>162</v>
      </c>
      <c r="G870" t="s">
        <v>490</v>
      </c>
      <c r="H870" t="s">
        <v>100</v>
      </c>
      <c r="I870" t="s">
        <v>165</v>
      </c>
      <c r="J870" t="s">
        <v>26</v>
      </c>
      <c r="K870" t="s">
        <v>27</v>
      </c>
      <c r="L870" t="s">
        <v>28</v>
      </c>
      <c r="M870" t="s">
        <v>166</v>
      </c>
      <c r="N870" t="s">
        <v>30</v>
      </c>
      <c r="O870" t="s">
        <v>31</v>
      </c>
      <c r="P870" t="s">
        <v>75</v>
      </c>
      <c r="Q870" t="s">
        <v>76</v>
      </c>
      <c r="R870" t="s">
        <v>168</v>
      </c>
      <c r="S870" t="s">
        <v>2166</v>
      </c>
    </row>
    <row r="871" ht="55" customHeight="1" spans="1:19">
      <c r="A871" s="1" t="str">
        <f>_xlfn.DISPIMG("ID_0D6556756C9F413FA84F42A2C2D0E323",1)</f>
        <v>=DISPIMG("ID_0D6556756C9F413FA84F42A2C2D0E323",1)</v>
      </c>
      <c r="B871" t="s">
        <v>2167</v>
      </c>
      <c r="C871" t="s">
        <v>2168</v>
      </c>
      <c r="D871" t="s">
        <v>572</v>
      </c>
      <c r="E871" t="s">
        <v>573</v>
      </c>
      <c r="F871" t="s">
        <v>40</v>
      </c>
      <c r="G871" t="s">
        <v>41</v>
      </c>
      <c r="H871" t="s">
        <v>211</v>
      </c>
      <c r="I871" t="s">
        <v>25</v>
      </c>
      <c r="J871" t="s">
        <v>26</v>
      </c>
      <c r="K871" t="s">
        <v>27</v>
      </c>
      <c r="L871" t="s">
        <v>74</v>
      </c>
      <c r="M871" t="s">
        <v>29</v>
      </c>
      <c r="N871" t="s">
        <v>661</v>
      </c>
      <c r="O871" t="s">
        <v>31</v>
      </c>
      <c r="P871" t="s">
        <v>713</v>
      </c>
      <c r="Q871" t="s">
        <v>553</v>
      </c>
      <c r="R871" t="s">
        <v>409</v>
      </c>
      <c r="S871" t="s">
        <v>2169</v>
      </c>
    </row>
    <row r="872" ht="55" customHeight="1" spans="1:19">
      <c r="A872" s="1" t="str">
        <f>_xlfn.DISPIMG("ID_B4EFD6E69F6344E385E6389242BE5C0D",1)</f>
        <v>=DISPIMG("ID_B4EFD6E69F6344E385E6389242BE5C0D",1)</v>
      </c>
      <c r="B872" t="s">
        <v>1324</v>
      </c>
      <c r="C872" t="s">
        <v>422</v>
      </c>
      <c r="D872" t="s">
        <v>664</v>
      </c>
      <c r="E872" t="s">
        <v>305</v>
      </c>
      <c r="F872" t="s">
        <v>401</v>
      </c>
      <c r="G872" t="s">
        <v>809</v>
      </c>
      <c r="H872" t="s">
        <v>50</v>
      </c>
      <c r="I872" t="s">
        <v>175</v>
      </c>
      <c r="J872" t="s">
        <v>26</v>
      </c>
      <c r="K872" t="s">
        <v>27</v>
      </c>
      <c r="L872" t="s">
        <v>323</v>
      </c>
      <c r="M872" t="s">
        <v>403</v>
      </c>
      <c r="N872" t="s">
        <v>30</v>
      </c>
      <c r="O872" t="s">
        <v>404</v>
      </c>
      <c r="P872" t="s">
        <v>128</v>
      </c>
      <c r="Q872" t="s">
        <v>113</v>
      </c>
      <c r="R872" t="s">
        <v>324</v>
      </c>
      <c r="S872" t="s">
        <v>2170</v>
      </c>
    </row>
    <row r="873" ht="55" customHeight="1" spans="1:19">
      <c r="A873" s="1" t="str">
        <f>_xlfn.DISPIMG("ID_61CB0D5A65C046D3AA17F99B3CC1B960",1)</f>
        <v>=DISPIMG("ID_61CB0D5A65C046D3AA17F99B3CC1B960",1)</v>
      </c>
      <c r="B873" t="s">
        <v>2171</v>
      </c>
      <c r="C873" t="s">
        <v>1833</v>
      </c>
      <c r="D873" t="s">
        <v>483</v>
      </c>
      <c r="E873" t="s">
        <v>328</v>
      </c>
      <c r="F873" t="s">
        <v>770</v>
      </c>
      <c r="G873" t="s">
        <v>444</v>
      </c>
      <c r="H873" t="s">
        <v>119</v>
      </c>
      <c r="I873" t="s">
        <v>25</v>
      </c>
      <c r="J873" t="s">
        <v>26</v>
      </c>
      <c r="K873" t="s">
        <v>27</v>
      </c>
      <c r="L873" t="s">
        <v>231</v>
      </c>
      <c r="M873" t="s">
        <v>29</v>
      </c>
      <c r="N873" t="s">
        <v>30</v>
      </c>
      <c r="O873" t="s">
        <v>31</v>
      </c>
      <c r="P873" t="s">
        <v>112</v>
      </c>
      <c r="Q873" t="s">
        <v>129</v>
      </c>
      <c r="R873" t="s">
        <v>389</v>
      </c>
      <c r="S873" t="s">
        <v>2172</v>
      </c>
    </row>
    <row r="874" ht="55" customHeight="1" spans="1:19">
      <c r="A874" s="1" t="str">
        <f>_xlfn.DISPIMG("ID_58CF63BE32CF44D681DA4159AD590215",1)</f>
        <v>=DISPIMG("ID_58CF63BE32CF44D681DA4159AD590215",1)</v>
      </c>
      <c r="B874" t="s">
        <v>257</v>
      </c>
      <c r="C874" t="s">
        <v>591</v>
      </c>
      <c r="D874" t="s">
        <v>664</v>
      </c>
      <c r="E874" t="s">
        <v>305</v>
      </c>
      <c r="F874" t="s">
        <v>51</v>
      </c>
      <c r="G874" t="s">
        <v>312</v>
      </c>
      <c r="H874" t="s">
        <v>50</v>
      </c>
      <c r="I874" t="s">
        <v>25</v>
      </c>
      <c r="J874" t="s">
        <v>26</v>
      </c>
      <c r="K874" t="s">
        <v>27</v>
      </c>
      <c r="L874" t="s">
        <v>74</v>
      </c>
      <c r="M874" t="s">
        <v>29</v>
      </c>
      <c r="N874" t="s">
        <v>30</v>
      </c>
      <c r="O874" t="s">
        <v>31</v>
      </c>
      <c r="P874" t="s">
        <v>351</v>
      </c>
      <c r="Q874" t="s">
        <v>122</v>
      </c>
      <c r="R874" t="s">
        <v>263</v>
      </c>
      <c r="S874" t="s">
        <v>2173</v>
      </c>
    </row>
    <row r="875" ht="55" customHeight="1" spans="1:19">
      <c r="A875" s="1" t="str">
        <f>_xlfn.DISPIMG("ID_010005D5C44848F59923D3B5F6ABF5A5",1)</f>
        <v>=DISPIMG("ID_010005D5C44848F59923D3B5F6ABF5A5",1)</v>
      </c>
      <c r="B875" t="s">
        <v>282</v>
      </c>
      <c r="C875" t="s">
        <v>479</v>
      </c>
      <c r="D875" t="s">
        <v>349</v>
      </c>
      <c r="E875" t="s">
        <v>84</v>
      </c>
      <c r="F875" t="s">
        <v>40</v>
      </c>
      <c r="G875" t="s">
        <v>744</v>
      </c>
      <c r="H875" t="s">
        <v>84</v>
      </c>
      <c r="I875" t="s">
        <v>42</v>
      </c>
      <c r="J875" t="s">
        <v>26</v>
      </c>
      <c r="K875" t="s">
        <v>27</v>
      </c>
      <c r="L875" t="s">
        <v>28</v>
      </c>
      <c r="M875" t="s">
        <v>29</v>
      </c>
      <c r="N875" t="s">
        <v>30</v>
      </c>
      <c r="O875" t="s">
        <v>31</v>
      </c>
      <c r="P875" t="s">
        <v>75</v>
      </c>
      <c r="Q875" t="s">
        <v>966</v>
      </c>
      <c r="R875" t="s">
        <v>45</v>
      </c>
      <c r="S875" t="s">
        <v>2174</v>
      </c>
    </row>
    <row r="876" ht="55" customHeight="1" spans="1:19">
      <c r="A876" s="1" t="str">
        <f>_xlfn.DISPIMG("ID_D255B448399C44E89729CC974EDA9CD1",1)</f>
        <v>=DISPIMG("ID_D255B448399C44E89729CC974EDA9CD1",1)</v>
      </c>
      <c r="B876" t="s">
        <v>784</v>
      </c>
      <c r="C876" t="s">
        <v>498</v>
      </c>
      <c r="D876" t="s">
        <v>172</v>
      </c>
      <c r="E876" t="s">
        <v>164</v>
      </c>
      <c r="F876" t="s">
        <v>519</v>
      </c>
      <c r="G876" t="s">
        <v>174</v>
      </c>
      <c r="H876" t="s">
        <v>164</v>
      </c>
      <c r="I876" t="s">
        <v>487</v>
      </c>
      <c r="J876" t="s">
        <v>26</v>
      </c>
      <c r="K876" t="s">
        <v>27</v>
      </c>
      <c r="L876" t="s">
        <v>74</v>
      </c>
      <c r="M876" t="s">
        <v>29</v>
      </c>
      <c r="N876" t="s">
        <v>661</v>
      </c>
      <c r="O876" t="s">
        <v>31</v>
      </c>
      <c r="P876" t="s">
        <v>146</v>
      </c>
      <c r="Q876" t="s">
        <v>76</v>
      </c>
      <c r="R876" t="s">
        <v>786</v>
      </c>
      <c r="S876" t="s">
        <v>2175</v>
      </c>
    </row>
    <row r="877" ht="55" customHeight="1" spans="1:19">
      <c r="A877" s="1" t="str">
        <f>_xlfn.DISPIMG("ID_DB0E0E790E12491F8A433AE7B046176D",1)</f>
        <v>=DISPIMG("ID_DB0E0E790E12491F8A433AE7B046176D",1)</v>
      </c>
      <c r="B877" t="s">
        <v>794</v>
      </c>
      <c r="C877" t="s">
        <v>150</v>
      </c>
      <c r="D877" t="s">
        <v>188</v>
      </c>
      <c r="E877" t="s">
        <v>144</v>
      </c>
      <c r="F877" t="s">
        <v>290</v>
      </c>
      <c r="G877" t="s">
        <v>312</v>
      </c>
      <c r="H877" t="s">
        <v>144</v>
      </c>
      <c r="I877" t="s">
        <v>42</v>
      </c>
      <c r="J877" t="s">
        <v>26</v>
      </c>
      <c r="K877" t="s">
        <v>27</v>
      </c>
      <c r="L877" t="s">
        <v>28</v>
      </c>
      <c r="M877" t="s">
        <v>93</v>
      </c>
      <c r="N877" t="s">
        <v>30</v>
      </c>
      <c r="O877" t="s">
        <v>31</v>
      </c>
      <c r="P877" t="s">
        <v>285</v>
      </c>
      <c r="Q877" t="s">
        <v>76</v>
      </c>
      <c r="R877" t="s">
        <v>130</v>
      </c>
      <c r="S877" t="s">
        <v>2176</v>
      </c>
    </row>
    <row r="878" ht="55" customHeight="1" spans="1:19">
      <c r="A878" s="1" t="str">
        <f>_xlfn.DISPIMG("ID_5BEE8715CC7741C6A679EC1B4EA579D5",1)</f>
        <v>=DISPIMG("ID_5BEE8715CC7741C6A679EC1B4EA579D5",1)</v>
      </c>
      <c r="B878" t="s">
        <v>320</v>
      </c>
      <c r="C878" t="s">
        <v>209</v>
      </c>
      <c r="D878" t="s">
        <v>454</v>
      </c>
      <c r="E878" t="s">
        <v>135</v>
      </c>
      <c r="F878" t="s">
        <v>173</v>
      </c>
      <c r="G878" t="s">
        <v>127</v>
      </c>
      <c r="H878" t="s">
        <v>135</v>
      </c>
      <c r="I878" t="s">
        <v>175</v>
      </c>
      <c r="J878" t="s">
        <v>26</v>
      </c>
      <c r="K878" t="s">
        <v>27</v>
      </c>
      <c r="L878" t="s">
        <v>28</v>
      </c>
      <c r="M878" t="s">
        <v>93</v>
      </c>
      <c r="N878" t="s">
        <v>30</v>
      </c>
      <c r="O878" t="s">
        <v>31</v>
      </c>
      <c r="P878" t="s">
        <v>138</v>
      </c>
      <c r="Q878" t="s">
        <v>122</v>
      </c>
      <c r="R878" t="s">
        <v>324</v>
      </c>
      <c r="S878" t="s">
        <v>2177</v>
      </c>
    </row>
    <row r="879" ht="55" customHeight="1" spans="1:19">
      <c r="A879" s="1" t="str">
        <f>_xlfn.DISPIMG("ID_EF1150B3531D4F2A8C450DA55DF91A8E",1)</f>
        <v>=DISPIMG("ID_EF1150B3531D4F2A8C450DA55DF91A8E",1)</v>
      </c>
      <c r="B879" t="s">
        <v>1624</v>
      </c>
      <c r="C879" t="s">
        <v>2178</v>
      </c>
      <c r="D879" t="s">
        <v>1353</v>
      </c>
      <c r="E879" t="s">
        <v>1349</v>
      </c>
      <c r="F879" t="s">
        <v>23</v>
      </c>
      <c r="G879" t="s">
        <v>2179</v>
      </c>
      <c r="H879" t="s">
        <v>1349</v>
      </c>
      <c r="I879" t="s">
        <v>25</v>
      </c>
      <c r="J879" t="s">
        <v>230</v>
      </c>
      <c r="K879" t="s">
        <v>27</v>
      </c>
      <c r="L879" t="s">
        <v>74</v>
      </c>
      <c r="M879" t="s">
        <v>29</v>
      </c>
      <c r="N879" t="s">
        <v>64</v>
      </c>
      <c r="O879" t="s">
        <v>31</v>
      </c>
      <c r="P879" t="s">
        <v>2180</v>
      </c>
      <c r="Q879" t="s">
        <v>2181</v>
      </c>
      <c r="R879" t="s">
        <v>147</v>
      </c>
      <c r="S879" t="s">
        <v>2182</v>
      </c>
    </row>
    <row r="880" ht="55" customHeight="1" spans="1:19">
      <c r="A880" s="1" t="str">
        <f>_xlfn.DISPIMG("ID_E87F486D951442398DB04AD3CC102FD5",1)</f>
        <v>=DISPIMG("ID_E87F486D951442398DB04AD3CC102FD5",1)</v>
      </c>
      <c r="B880" t="s">
        <v>225</v>
      </c>
      <c r="C880" t="s">
        <v>2183</v>
      </c>
      <c r="D880" t="s">
        <v>1685</v>
      </c>
      <c r="E880" t="s">
        <v>211</v>
      </c>
      <c r="F880" t="s">
        <v>228</v>
      </c>
      <c r="G880" t="s">
        <v>2184</v>
      </c>
      <c r="H880" t="s">
        <v>211</v>
      </c>
      <c r="I880" t="s">
        <v>165</v>
      </c>
      <c r="J880" t="s">
        <v>230</v>
      </c>
      <c r="K880" t="s">
        <v>27</v>
      </c>
      <c r="L880" t="s">
        <v>28</v>
      </c>
      <c r="M880" t="s">
        <v>232</v>
      </c>
      <c r="N880" t="s">
        <v>64</v>
      </c>
      <c r="O880" t="s">
        <v>31</v>
      </c>
      <c r="P880" t="s">
        <v>301</v>
      </c>
      <c r="Q880" t="s">
        <v>2185</v>
      </c>
      <c r="R880" t="s">
        <v>234</v>
      </c>
      <c r="S880" t="s">
        <v>2186</v>
      </c>
    </row>
  </sheetData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Administrator</cp:lastModifiedBy>
  <dcterms:created xsi:type="dcterms:W3CDTF">2023-02-17T07:00:00Z</dcterms:created>
  <dcterms:modified xsi:type="dcterms:W3CDTF">2023-02-17T07:03:36Z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EC8084CDDD2A43A1B3D8DF4E748CFE12</vt:lpwstr>
  </property>
  <property fmtid="{D5CDD505-2E9C-101B-9397-08002B2CF9AE}" pid="3" name="KSOProductBuildVer">
    <vt:lpwstr>2052-11.1.0.13703</vt:lpwstr>
  </property>
</Properties>
</file>